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HalesS\Documents\Website Redevelopment Project\"/>
    </mc:Choice>
  </mc:AlternateContent>
  <xr:revisionPtr revIDLastSave="0" documentId="8_{CE0E366E-E7C8-4D6B-BB88-E8CE1DD1BFB3}" xr6:coauthVersionLast="47" xr6:coauthVersionMax="47" xr10:uidLastSave="{00000000-0000-0000-0000-000000000000}"/>
  <bookViews>
    <workbookView xWindow="-120" yWindow="-120" windowWidth="29040" windowHeight="17640" tabRatio="802" activeTab="3" xr2:uid="{EEDCF9F2-7F46-4103-A243-209DA4D434C3}"/>
  </bookViews>
  <sheets>
    <sheet name="Title" sheetId="7" r:id="rId1"/>
    <sheet name="Overview" sheetId="28" r:id="rId2"/>
    <sheet name="Part 1&gt;&gt;" sheetId="29" r:id="rId3"/>
    <sheet name="Outputs - Part 1" sheetId="31" r:id="rId4"/>
    <sheet name="Calculations - Part 1" sheetId="11" r:id="rId5"/>
    <sheet name="Inputs - Part 1" sheetId="6" r:id="rId6"/>
    <sheet name="Part 2&gt;&gt;" sheetId="30" r:id="rId7"/>
    <sheet name="Outputs - Part 2" sheetId="13" r:id="rId8"/>
    <sheet name="Calculations - Part 2" sheetId="23" r:id="rId9"/>
    <sheet name="Inputs - Part 2" sheetId="20" r:id="rId10"/>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4" hidden="1">'Calculations - Part 1'!$A$7:$J$57</definedName>
    <definedName name="_xlnm._FilterDatabase" localSheetId="8" hidden="1">'Calculations - Part 2'!$A$9:$J$59</definedName>
    <definedName name="_xlnm._FilterDatabase" localSheetId="9" hidden="1">'Inputs - Part 2'!$L$7:$M$74</definedName>
    <definedName name="page\x2dtotal">#REF!</definedName>
    <definedName name="page\x2dtotal\x2dmaster0">#REF!</definedName>
    <definedName name="Pal_Workbook_GUID" hidden="1">"6S1JHEHENLE191V518WIWCLK"</definedName>
    <definedName name="_xlnm.Print_Area" localSheetId="0">Title!$A$1:$N$28</definedName>
    <definedName name="RiskAfterRecalcMacro" hidden="1">""</definedName>
    <definedName name="RiskAfterSimMacro" hidden="1">""</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8"/>
  <pivotCaches>
    <pivotCache cacheId="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1" i="31" l="1"/>
  <c r="T99" i="31"/>
  <c r="T86" i="31"/>
  <c r="T87" i="31"/>
  <c r="T88" i="31"/>
  <c r="T89" i="31"/>
  <c r="T90" i="31"/>
  <c r="T91" i="31"/>
  <c r="T92" i="31"/>
  <c r="T93" i="31"/>
  <c r="T94" i="31"/>
  <c r="T95" i="31"/>
  <c r="T96" i="31"/>
  <c r="T85" i="31"/>
  <c r="T58" i="31"/>
  <c r="T59" i="31"/>
  <c r="T60" i="31"/>
  <c r="T61" i="31"/>
  <c r="T62" i="31"/>
  <c r="T63" i="31"/>
  <c r="T64" i="31"/>
  <c r="T65" i="31"/>
  <c r="T66" i="31"/>
  <c r="T67" i="31"/>
  <c r="T68" i="31"/>
  <c r="T69" i="31"/>
  <c r="T70" i="31"/>
  <c r="T71" i="31"/>
  <c r="T72" i="31"/>
  <c r="T73" i="31"/>
  <c r="T57" i="31"/>
  <c r="T11" i="31"/>
  <c r="T12" i="31"/>
  <c r="T13" i="31"/>
  <c r="T14" i="31"/>
  <c r="T15" i="31"/>
  <c r="T16" i="31"/>
  <c r="T17" i="31"/>
  <c r="T18" i="31"/>
  <c r="T19" i="31"/>
  <c r="T20" i="31"/>
  <c r="T21" i="31"/>
  <c r="T22" i="31"/>
  <c r="T23" i="31"/>
  <c r="T24" i="31"/>
  <c r="T25" i="31"/>
  <c r="T26" i="31"/>
  <c r="T27" i="31"/>
  <c r="T28" i="31"/>
  <c r="T29" i="31"/>
  <c r="T30" i="31"/>
  <c r="T31" i="31"/>
  <c r="T32" i="31"/>
  <c r="T33" i="31"/>
  <c r="T34" i="31"/>
  <c r="T35" i="31"/>
  <c r="T36" i="31"/>
  <c r="T10" i="31"/>
  <c r="D194" i="11"/>
  <c r="F43" i="23"/>
  <c r="F44" i="23"/>
  <c r="F45" i="23"/>
  <c r="F46" i="23"/>
  <c r="F47" i="23"/>
  <c r="F48" i="23"/>
  <c r="F49" i="23"/>
  <c r="F50" i="23"/>
  <c r="F51" i="23"/>
  <c r="F52" i="23"/>
  <c r="F53" i="23"/>
  <c r="F54" i="23"/>
  <c r="F55" i="23"/>
  <c r="F56" i="23"/>
  <c r="F57" i="23"/>
  <c r="F58" i="23"/>
  <c r="F59" i="23"/>
  <c r="F30" i="23"/>
  <c r="F31" i="23"/>
  <c r="F32" i="23"/>
  <c r="F33" i="23"/>
  <c r="F34" i="23"/>
  <c r="F35" i="23"/>
  <c r="F36" i="23"/>
  <c r="F37" i="23"/>
  <c r="F38" i="23"/>
  <c r="F39" i="23"/>
  <c r="F40" i="23"/>
  <c r="F41" i="23"/>
  <c r="F42" i="23"/>
  <c r="F18" i="23"/>
  <c r="F19" i="23"/>
  <c r="F20" i="23"/>
  <c r="F21" i="23"/>
  <c r="F22" i="23"/>
  <c r="F23" i="23"/>
  <c r="F24" i="23"/>
  <c r="F25" i="23"/>
  <c r="F26" i="23"/>
  <c r="F27" i="23"/>
  <c r="F28" i="23"/>
  <c r="F29" i="23"/>
  <c r="F11" i="23"/>
  <c r="F12" i="23"/>
  <c r="F13" i="23"/>
  <c r="F14" i="23"/>
  <c r="F15" i="23"/>
  <c r="F16" i="23"/>
  <c r="F17" i="23"/>
  <c r="F10" i="23"/>
  <c r="I11" i="23"/>
  <c r="I12" i="23"/>
  <c r="I13" i="23"/>
  <c r="I14" i="23"/>
  <c r="I15" i="23"/>
  <c r="I16" i="23"/>
  <c r="I17" i="23"/>
  <c r="I18" i="23"/>
  <c r="I19" i="23"/>
  <c r="I20" i="23"/>
  <c r="I21" i="23"/>
  <c r="I22" i="23"/>
  <c r="I23" i="23"/>
  <c r="I24" i="23"/>
  <c r="I25" i="23"/>
  <c r="I26" i="23"/>
  <c r="I27" i="23"/>
  <c r="I28" i="23"/>
  <c r="I29" i="23"/>
  <c r="I30" i="23"/>
  <c r="I31" i="23"/>
  <c r="I32" i="23"/>
  <c r="I33" i="23"/>
  <c r="I34" i="23"/>
  <c r="I35" i="23"/>
  <c r="I36" i="23"/>
  <c r="I37" i="23"/>
  <c r="I38" i="23"/>
  <c r="I39" i="23"/>
  <c r="I40" i="23"/>
  <c r="I41" i="23"/>
  <c r="I42" i="23"/>
  <c r="I43" i="23"/>
  <c r="I44" i="23"/>
  <c r="I45" i="23"/>
  <c r="I46" i="23"/>
  <c r="I47" i="23"/>
  <c r="I48" i="23"/>
  <c r="I49" i="23"/>
  <c r="I50" i="23"/>
  <c r="I51" i="23"/>
  <c r="I52" i="23"/>
  <c r="I53" i="23"/>
  <c r="I54" i="23"/>
  <c r="I55" i="23"/>
  <c r="I56" i="23"/>
  <c r="I57" i="23"/>
  <c r="I58" i="23"/>
  <c r="I59" i="23"/>
  <c r="I60" i="23"/>
  <c r="I61" i="23"/>
  <c r="I62" i="23"/>
  <c r="I63" i="23"/>
  <c r="I64" i="23"/>
  <c r="I65" i="23"/>
  <c r="I10" i="23"/>
  <c r="A57" i="31" a="1"/>
  <c r="B194" i="11"/>
  <c r="C194" i="11"/>
  <c r="A194" i="11"/>
  <c r="A128" i="11"/>
  <c r="B128" i="11"/>
  <c r="C128" i="11"/>
  <c r="B209" i="23"/>
  <c r="C209" i="23"/>
  <c r="A140" i="23"/>
  <c r="B140" i="23"/>
  <c r="C140" i="23"/>
  <c r="D140" i="23"/>
  <c r="E140" i="23"/>
  <c r="F140" i="23"/>
  <c r="G140" i="23"/>
  <c r="B207" i="23"/>
  <c r="C207" i="23"/>
  <c r="B208" i="23"/>
  <c r="C208" i="23"/>
  <c r="C201" i="23"/>
  <c r="C202" i="23"/>
  <c r="C203" i="23"/>
  <c r="C204" i="23"/>
  <c r="C205" i="23"/>
  <c r="C206"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C191" i="23"/>
  <c r="C192" i="23"/>
  <c r="C193" i="23"/>
  <c r="C194" i="23"/>
  <c r="C195" i="23"/>
  <c r="C196" i="23"/>
  <c r="C197" i="23"/>
  <c r="C198" i="23"/>
  <c r="C199" i="23"/>
  <c r="C200" i="23"/>
  <c r="C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154" i="23"/>
  <c r="D135" i="23"/>
  <c r="E135" i="23"/>
  <c r="F135" i="23"/>
  <c r="G135" i="23"/>
  <c r="D136" i="23"/>
  <c r="E136" i="23"/>
  <c r="F136" i="23"/>
  <c r="G136" i="23"/>
  <c r="D137" i="23"/>
  <c r="E137" i="23"/>
  <c r="F137" i="23"/>
  <c r="G137" i="23"/>
  <c r="D138" i="23"/>
  <c r="E138" i="23"/>
  <c r="F138" i="23"/>
  <c r="G138" i="23"/>
  <c r="D139" i="23"/>
  <c r="E139" i="23"/>
  <c r="F139" i="23"/>
  <c r="G139" i="23"/>
  <c r="C135" i="23"/>
  <c r="C136" i="23"/>
  <c r="C137" i="23"/>
  <c r="C138" i="23"/>
  <c r="C139" i="23"/>
  <c r="B135" i="23"/>
  <c r="B136" i="23"/>
  <c r="B137" i="23"/>
  <c r="B138" i="23"/>
  <c r="B139" i="23"/>
  <c r="A139" i="23"/>
  <c r="A135" i="23"/>
  <c r="A136" i="23"/>
  <c r="A137" i="23"/>
  <c r="A138" i="23"/>
  <c r="S96" i="31"/>
  <c r="A85" i="31" a="1"/>
  <c r="A85" i="31" s="1"/>
  <c r="A10" i="31" a="1"/>
  <c r="A10" i="31" s="1"/>
  <c r="D189" i="11"/>
  <c r="D190" i="11"/>
  <c r="D191" i="11"/>
  <c r="D192" i="11"/>
  <c r="D193" i="11"/>
  <c r="B189" i="11"/>
  <c r="C189" i="11"/>
  <c r="B190" i="11"/>
  <c r="C190" i="11"/>
  <c r="B191" i="11"/>
  <c r="C191" i="11"/>
  <c r="B192" i="11"/>
  <c r="C192" i="11"/>
  <c r="B193" i="11"/>
  <c r="C193" i="11"/>
  <c r="A189" i="11"/>
  <c r="A190" i="11"/>
  <c r="A191" i="11"/>
  <c r="A192" i="11"/>
  <c r="A193" i="11"/>
  <c r="C123" i="11"/>
  <c r="C124" i="11"/>
  <c r="C125" i="11"/>
  <c r="C126" i="11"/>
  <c r="C127" i="11"/>
  <c r="B122" i="11"/>
  <c r="B123" i="11"/>
  <c r="B124" i="11"/>
  <c r="B125" i="11"/>
  <c r="B126" i="11"/>
  <c r="B127" i="11"/>
  <c r="A127" i="11"/>
  <c r="A126" i="11"/>
  <c r="A123" i="11"/>
  <c r="A124" i="11"/>
  <c r="A125" i="11"/>
  <c r="L40" i="11"/>
  <c r="D186" i="23"/>
  <c r="E186" i="23"/>
  <c r="F186" i="23"/>
  <c r="R22" i="20"/>
  <c r="F41" i="11"/>
  <c r="F42" i="11"/>
  <c r="F43" i="11"/>
  <c r="F44" i="11"/>
  <c r="F45" i="11"/>
  <c r="F46" i="11"/>
  <c r="F47" i="11"/>
  <c r="F48" i="11"/>
  <c r="F49" i="11"/>
  <c r="F50" i="11"/>
  <c r="F51" i="11"/>
  <c r="F52" i="11"/>
  <c r="F53" i="11"/>
  <c r="F54" i="11"/>
  <c r="F55" i="11"/>
  <c r="F56" i="11"/>
  <c r="AA56" i="20" s="1"/>
  <c r="F57"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8" i="11"/>
  <c r="D9" i="31"/>
  <c r="D84" i="31" s="1"/>
  <c r="E9" i="31"/>
  <c r="E56" i="31" s="1"/>
  <c r="F9" i="31"/>
  <c r="F84" i="31" s="1"/>
  <c r="G9" i="31"/>
  <c r="G84" i="31" s="1"/>
  <c r="H9" i="31"/>
  <c r="H84" i="31" s="1"/>
  <c r="I9" i="31"/>
  <c r="I56" i="31" s="1"/>
  <c r="J9" i="31"/>
  <c r="J84" i="31" s="1"/>
  <c r="K9" i="31"/>
  <c r="K84" i="31" s="1"/>
  <c r="L9" i="31"/>
  <c r="L84" i="31" s="1"/>
  <c r="M9" i="31"/>
  <c r="M56" i="31" s="1"/>
  <c r="N9" i="31"/>
  <c r="N84" i="31" s="1"/>
  <c r="O9" i="31"/>
  <c r="O84" i="31" s="1"/>
  <c r="P9" i="31"/>
  <c r="P84" i="31" s="1"/>
  <c r="Q9" i="31"/>
  <c r="Q56" i="31" s="1"/>
  <c r="M171" i="11"/>
  <c r="T98" i="31" l="1"/>
  <c r="S73" i="31"/>
  <c r="A57" i="31"/>
  <c r="S72" i="31"/>
  <c r="S70" i="31"/>
  <c r="S71" i="31"/>
  <c r="S69" i="31"/>
  <c r="G186" i="23"/>
  <c r="I84" i="31"/>
  <c r="M84" i="31"/>
  <c r="P56" i="31"/>
  <c r="H56" i="31"/>
  <c r="Q84" i="31"/>
  <c r="E84" i="31"/>
  <c r="L56" i="31"/>
  <c r="D56" i="31"/>
  <c r="O56" i="31"/>
  <c r="G56" i="31"/>
  <c r="N56" i="31"/>
  <c r="F56" i="31"/>
  <c r="K56" i="31"/>
  <c r="J56" i="31"/>
  <c r="H186" i="23"/>
  <c r="U56" i="31" l="1"/>
  <c r="T84" i="31"/>
  <c r="T56" i="31" l="1"/>
  <c r="U84" i="31"/>
  <c r="T9" i="31"/>
  <c r="U9" i="31"/>
  <c r="P67" i="11"/>
  <c r="Q67" i="11"/>
  <c r="A72" i="11"/>
  <c r="B72" i="11"/>
  <c r="C72" i="11"/>
  <c r="A73" i="11"/>
  <c r="B73" i="11"/>
  <c r="A74" i="11"/>
  <c r="B74" i="11"/>
  <c r="A75" i="11"/>
  <c r="B75" i="11"/>
  <c r="A76" i="11"/>
  <c r="B76" i="11"/>
  <c r="A77" i="11"/>
  <c r="B77" i="11"/>
  <c r="A78" i="11"/>
  <c r="B78" i="11"/>
  <c r="A79" i="11"/>
  <c r="B79" i="11"/>
  <c r="A80" i="11"/>
  <c r="B80" i="11"/>
  <c r="A81" i="11"/>
  <c r="B81" i="11"/>
  <c r="A82" i="11"/>
  <c r="B82" i="11"/>
  <c r="A83" i="11"/>
  <c r="B83" i="11"/>
  <c r="A84" i="11"/>
  <c r="B84" i="11"/>
  <c r="A85" i="11"/>
  <c r="B85" i="11"/>
  <c r="A86" i="11"/>
  <c r="B86" i="11"/>
  <c r="A87" i="11"/>
  <c r="B87" i="11"/>
  <c r="A88" i="11"/>
  <c r="B88" i="11"/>
  <c r="A89" i="11"/>
  <c r="B89" i="11"/>
  <c r="A90" i="11"/>
  <c r="B90" i="11"/>
  <c r="A91" i="11"/>
  <c r="B91" i="11"/>
  <c r="A92" i="11"/>
  <c r="B92" i="11"/>
  <c r="A93" i="11"/>
  <c r="B93" i="11"/>
  <c r="A94" i="11"/>
  <c r="B94" i="11"/>
  <c r="A95" i="11"/>
  <c r="B95" i="11"/>
  <c r="A96" i="11"/>
  <c r="B96" i="11"/>
  <c r="A97" i="11"/>
  <c r="B97" i="11"/>
  <c r="A98" i="11"/>
  <c r="B98" i="11"/>
  <c r="A99" i="11"/>
  <c r="B99" i="11"/>
  <c r="A100" i="11"/>
  <c r="B100" i="11"/>
  <c r="A101" i="11"/>
  <c r="B101" i="11"/>
  <c r="A102" i="11"/>
  <c r="B102" i="11"/>
  <c r="A103" i="11"/>
  <c r="B103" i="11"/>
  <c r="A104" i="11"/>
  <c r="B104" i="11"/>
  <c r="A105" i="11"/>
  <c r="B105" i="11"/>
  <c r="A106" i="11"/>
  <c r="B106" i="11"/>
  <c r="A107" i="11"/>
  <c r="B107" i="11"/>
  <c r="A108" i="11"/>
  <c r="B108" i="11"/>
  <c r="A109" i="11"/>
  <c r="B109" i="11"/>
  <c r="A110" i="11"/>
  <c r="B110" i="11"/>
  <c r="A111" i="11"/>
  <c r="B111" i="11"/>
  <c r="A112" i="11"/>
  <c r="B112" i="11"/>
  <c r="A113" i="11"/>
  <c r="B113" i="11"/>
  <c r="A114" i="11"/>
  <c r="B114" i="11"/>
  <c r="A115" i="11"/>
  <c r="B115" i="11"/>
  <c r="A116" i="11"/>
  <c r="B116" i="11"/>
  <c r="A117" i="11"/>
  <c r="B117" i="11"/>
  <c r="A118" i="11"/>
  <c r="B118" i="11"/>
  <c r="A119" i="11"/>
  <c r="B119" i="11"/>
  <c r="A120" i="11"/>
  <c r="B120" i="11"/>
  <c r="A121" i="11"/>
  <c r="B121" i="11"/>
  <c r="A122" i="11"/>
  <c r="A138" i="11"/>
  <c r="A9" i="31" s="1"/>
  <c r="B138" i="11"/>
  <c r="B9" i="31" s="1"/>
  <c r="C138" i="11"/>
  <c r="C9" i="31" s="1"/>
  <c r="A139" i="11"/>
  <c r="B139" i="11"/>
  <c r="D139" i="11"/>
  <c r="A140" i="11"/>
  <c r="B140" i="11"/>
  <c r="D140" i="11"/>
  <c r="A141" i="11"/>
  <c r="B141" i="11"/>
  <c r="D141" i="11"/>
  <c r="A142" i="11"/>
  <c r="B142" i="11"/>
  <c r="D142" i="11"/>
  <c r="A143" i="11"/>
  <c r="B143" i="11"/>
  <c r="D143" i="11"/>
  <c r="A144" i="11"/>
  <c r="B144" i="11"/>
  <c r="D144" i="11"/>
  <c r="A145" i="11"/>
  <c r="B145" i="11"/>
  <c r="D145" i="11"/>
  <c r="A146" i="11"/>
  <c r="B146" i="11"/>
  <c r="D146" i="11"/>
  <c r="A147" i="11"/>
  <c r="B147" i="11"/>
  <c r="D147" i="11"/>
  <c r="A148" i="11"/>
  <c r="B148" i="11"/>
  <c r="D148" i="11"/>
  <c r="A149" i="11"/>
  <c r="B149" i="11"/>
  <c r="D149" i="11"/>
  <c r="A150" i="11"/>
  <c r="B150" i="11"/>
  <c r="D150" i="11"/>
  <c r="A151" i="11"/>
  <c r="B151" i="11"/>
  <c r="D151" i="11"/>
  <c r="A152" i="11"/>
  <c r="B152" i="11"/>
  <c r="D152" i="11"/>
  <c r="A153" i="11"/>
  <c r="B153" i="11"/>
  <c r="D153" i="11"/>
  <c r="A154" i="11"/>
  <c r="B154" i="11"/>
  <c r="D154" i="11"/>
  <c r="A155" i="11"/>
  <c r="B155" i="11"/>
  <c r="D155" i="11"/>
  <c r="A156" i="11"/>
  <c r="B156" i="11"/>
  <c r="D156" i="11"/>
  <c r="A157" i="11"/>
  <c r="B157" i="11"/>
  <c r="D157" i="11"/>
  <c r="A158" i="11"/>
  <c r="B158" i="11"/>
  <c r="D158" i="11"/>
  <c r="A159" i="11"/>
  <c r="B159" i="11"/>
  <c r="D159" i="11"/>
  <c r="A160" i="11"/>
  <c r="B160" i="11"/>
  <c r="D160" i="11"/>
  <c r="A161" i="11"/>
  <c r="B161" i="11"/>
  <c r="D161" i="11"/>
  <c r="A162" i="11"/>
  <c r="B162" i="11"/>
  <c r="D162" i="11"/>
  <c r="A163" i="11"/>
  <c r="B163" i="11"/>
  <c r="D163" i="11"/>
  <c r="A164" i="11"/>
  <c r="B164" i="11"/>
  <c r="D164" i="11"/>
  <c r="A165" i="11"/>
  <c r="B165" i="11"/>
  <c r="D165" i="11"/>
  <c r="A166" i="11"/>
  <c r="B166" i="11"/>
  <c r="D166" i="11"/>
  <c r="A167" i="11"/>
  <c r="B167" i="11"/>
  <c r="D167" i="11"/>
  <c r="A168" i="11"/>
  <c r="B168" i="11"/>
  <c r="D168" i="11"/>
  <c r="A169" i="11"/>
  <c r="B169" i="11"/>
  <c r="D169" i="11"/>
  <c r="A170" i="11"/>
  <c r="B170" i="11"/>
  <c r="D170" i="11"/>
  <c r="A171" i="11"/>
  <c r="B171" i="11"/>
  <c r="D171" i="11"/>
  <c r="A172" i="11"/>
  <c r="B172" i="11"/>
  <c r="D172" i="11"/>
  <c r="A173" i="11"/>
  <c r="B173" i="11"/>
  <c r="D173" i="11"/>
  <c r="A174" i="11"/>
  <c r="B174" i="11"/>
  <c r="D174" i="11"/>
  <c r="A175" i="11"/>
  <c r="B175" i="11"/>
  <c r="D175" i="11"/>
  <c r="A176" i="11"/>
  <c r="B176" i="11"/>
  <c r="D176" i="11"/>
  <c r="A177" i="11"/>
  <c r="B177" i="11"/>
  <c r="D177" i="11"/>
  <c r="A178" i="11"/>
  <c r="B178" i="11"/>
  <c r="D178" i="11"/>
  <c r="A179" i="11"/>
  <c r="B179" i="11"/>
  <c r="D179" i="11"/>
  <c r="A180" i="11"/>
  <c r="B180" i="11"/>
  <c r="D180" i="11"/>
  <c r="A181" i="11"/>
  <c r="B181" i="11"/>
  <c r="D181" i="11"/>
  <c r="A182" i="11"/>
  <c r="B182" i="11"/>
  <c r="D182" i="11"/>
  <c r="A183" i="11"/>
  <c r="B183" i="11"/>
  <c r="D183" i="11"/>
  <c r="A184" i="11"/>
  <c r="B184" i="11"/>
  <c r="D184" i="11"/>
  <c r="A185" i="11"/>
  <c r="B185" i="11"/>
  <c r="D185" i="11"/>
  <c r="A186" i="11"/>
  <c r="B186" i="11"/>
  <c r="D186" i="11"/>
  <c r="A187" i="11"/>
  <c r="B187" i="11"/>
  <c r="D187" i="11"/>
  <c r="A188" i="11"/>
  <c r="B188" i="11"/>
  <c r="D188" i="11"/>
  <c r="B133" i="23"/>
  <c r="A133" i="23"/>
  <c r="C133" i="23"/>
  <c r="D58" i="23"/>
  <c r="C121" i="11"/>
  <c r="D56" i="11"/>
  <c r="B84" i="31" l="1"/>
  <c r="B56" i="31"/>
  <c r="A84" i="31"/>
  <c r="A56" i="31"/>
  <c r="C84" i="31"/>
  <c r="C56" i="31"/>
  <c r="E56" i="11"/>
  <c r="E58" i="23" s="1"/>
  <c r="D133" i="23" s="1"/>
  <c r="L171" i="11"/>
  <c r="N171" i="11" s="1"/>
  <c r="K171" i="11"/>
  <c r="F171" i="11"/>
  <c r="C187" i="11"/>
  <c r="AC56" i="20"/>
  <c r="AB56" i="20"/>
  <c r="AE56" i="20"/>
  <c r="AD56" i="20"/>
  <c r="O121" i="11" l="1"/>
  <c r="G56" i="11"/>
  <c r="H56" i="11" s="1"/>
  <c r="M187" i="11"/>
  <c r="S171" i="11"/>
  <c r="D121" i="11"/>
  <c r="E121" i="11" s="1"/>
  <c r="Q23" i="20"/>
  <c r="R23" i="20"/>
  <c r="S23" i="20"/>
  <c r="T23" i="20"/>
  <c r="U23" i="20"/>
  <c r="V23" i="20"/>
  <c r="W23" i="20"/>
  <c r="X23" i="20"/>
  <c r="S22" i="20"/>
  <c r="D25" i="23"/>
  <c r="F187" i="11" l="1"/>
  <c r="K187" i="11"/>
  <c r="E8" i="11" l="1"/>
  <c r="M139" i="11" s="1"/>
  <c r="M79" i="23"/>
  <c r="L79" i="23"/>
  <c r="G8" i="11" l="1"/>
  <c r="O73" i="11"/>
  <c r="C67" i="6"/>
  <c r="C8" i="6" s="1"/>
  <c r="C9" i="6" s="1"/>
  <c r="B134" i="23"/>
  <c r="A134" i="23"/>
  <c r="B132" i="23"/>
  <c r="A132" i="23"/>
  <c r="B131" i="23"/>
  <c r="A131" i="23"/>
  <c r="B130" i="23"/>
  <c r="A130" i="23"/>
  <c r="B129" i="23"/>
  <c r="A129" i="23"/>
  <c r="B128" i="23"/>
  <c r="A128" i="23"/>
  <c r="B127" i="23"/>
  <c r="A127" i="23"/>
  <c r="B126" i="23"/>
  <c r="A126" i="23"/>
  <c r="B125" i="23"/>
  <c r="A125" i="23"/>
  <c r="B124" i="23"/>
  <c r="A124" i="23"/>
  <c r="B123" i="23"/>
  <c r="A123" i="23"/>
  <c r="B122" i="23"/>
  <c r="A122" i="23"/>
  <c r="B121" i="23"/>
  <c r="A121" i="23"/>
  <c r="B120" i="23"/>
  <c r="A120" i="23"/>
  <c r="B119" i="23"/>
  <c r="A119" i="23"/>
  <c r="B118" i="23"/>
  <c r="A118" i="23"/>
  <c r="B117" i="23"/>
  <c r="A117" i="23"/>
  <c r="B116" i="23"/>
  <c r="A116" i="23"/>
  <c r="B115" i="23"/>
  <c r="A115" i="23"/>
  <c r="B114" i="23"/>
  <c r="A114" i="23"/>
  <c r="B113" i="23"/>
  <c r="A113" i="23"/>
  <c r="B112" i="23"/>
  <c r="A112" i="23"/>
  <c r="B111" i="23"/>
  <c r="A111" i="23"/>
  <c r="B110" i="23"/>
  <c r="A110" i="23"/>
  <c r="B109" i="23"/>
  <c r="A109" i="23"/>
  <c r="B108" i="23"/>
  <c r="A108" i="23"/>
  <c r="B107" i="23"/>
  <c r="A107" i="23"/>
  <c r="B106" i="23"/>
  <c r="A106" i="23"/>
  <c r="B105" i="23"/>
  <c r="A105" i="23"/>
  <c r="B104" i="23"/>
  <c r="A104" i="23"/>
  <c r="B103" i="23"/>
  <c r="A103" i="23"/>
  <c r="B102" i="23"/>
  <c r="A102" i="23"/>
  <c r="B101" i="23"/>
  <c r="A101" i="23"/>
  <c r="B100" i="23"/>
  <c r="A100" i="23"/>
  <c r="B99" i="23"/>
  <c r="A99" i="23"/>
  <c r="B98" i="23"/>
  <c r="A98" i="23"/>
  <c r="B97" i="23"/>
  <c r="A97" i="23"/>
  <c r="B96" i="23"/>
  <c r="A96" i="23"/>
  <c r="B95" i="23"/>
  <c r="A95" i="23"/>
  <c r="B94" i="23"/>
  <c r="A94" i="23"/>
  <c r="B93" i="23"/>
  <c r="A93" i="23"/>
  <c r="B92" i="23"/>
  <c r="A92" i="23"/>
  <c r="B91" i="23"/>
  <c r="A91" i="23"/>
  <c r="B90" i="23"/>
  <c r="A90" i="23"/>
  <c r="B89" i="23"/>
  <c r="A89" i="23"/>
  <c r="B88" i="23"/>
  <c r="A88" i="23"/>
  <c r="B87" i="23"/>
  <c r="A87" i="23"/>
  <c r="B86" i="23"/>
  <c r="A86" i="23"/>
  <c r="B85" i="23"/>
  <c r="A85" i="23"/>
  <c r="C84" i="23"/>
  <c r="B84" i="23"/>
  <c r="A84" i="23"/>
  <c r="D59" i="23"/>
  <c r="C134" i="23"/>
  <c r="D57" i="23"/>
  <c r="C132" i="23"/>
  <c r="D56" i="23"/>
  <c r="C131" i="23"/>
  <c r="D55" i="23"/>
  <c r="C130" i="23"/>
  <c r="D54" i="23"/>
  <c r="C129" i="23"/>
  <c r="D53" i="23"/>
  <c r="C128" i="23"/>
  <c r="D52" i="23"/>
  <c r="C127" i="23"/>
  <c r="D51" i="23"/>
  <c r="C126" i="23"/>
  <c r="D50" i="23"/>
  <c r="C125" i="23"/>
  <c r="D49" i="23"/>
  <c r="C124" i="23"/>
  <c r="D48" i="23"/>
  <c r="C123" i="23"/>
  <c r="D47" i="23"/>
  <c r="C122" i="23"/>
  <c r="D46" i="23"/>
  <c r="C121" i="23"/>
  <c r="D45" i="23"/>
  <c r="C120" i="23"/>
  <c r="D44" i="23"/>
  <c r="C119" i="23"/>
  <c r="D43" i="23"/>
  <c r="C118" i="23"/>
  <c r="C117" i="23"/>
  <c r="D41" i="23"/>
  <c r="C116" i="23"/>
  <c r="D40" i="23"/>
  <c r="C115" i="23"/>
  <c r="D39" i="23"/>
  <c r="C114" i="23"/>
  <c r="D38" i="23"/>
  <c r="C113" i="23"/>
  <c r="D37" i="23"/>
  <c r="C112" i="23"/>
  <c r="D36" i="23"/>
  <c r="C111" i="23"/>
  <c r="D35" i="23"/>
  <c r="C110" i="23"/>
  <c r="D34" i="23"/>
  <c r="C109" i="23"/>
  <c r="D33" i="23"/>
  <c r="C108" i="23"/>
  <c r="D32" i="23"/>
  <c r="C107" i="23"/>
  <c r="D31" i="23"/>
  <c r="C106" i="23"/>
  <c r="D30" i="23"/>
  <c r="C105" i="23"/>
  <c r="D29" i="23"/>
  <c r="C104" i="23"/>
  <c r="D28" i="23"/>
  <c r="C103" i="23"/>
  <c r="D27" i="23"/>
  <c r="C102" i="23"/>
  <c r="D26" i="23"/>
  <c r="C101" i="23"/>
  <c r="C100" i="23"/>
  <c r="D24" i="23"/>
  <c r="C99" i="23"/>
  <c r="D23" i="23"/>
  <c r="C98" i="23"/>
  <c r="D22" i="23"/>
  <c r="C97" i="23"/>
  <c r="D21" i="23"/>
  <c r="C96" i="23"/>
  <c r="D20" i="23"/>
  <c r="C95" i="23"/>
  <c r="D19" i="23"/>
  <c r="C94" i="23"/>
  <c r="D18" i="23"/>
  <c r="C93" i="23"/>
  <c r="D17" i="23"/>
  <c r="C92" i="23"/>
  <c r="D16" i="23"/>
  <c r="C91" i="23"/>
  <c r="D15" i="23"/>
  <c r="C90" i="23"/>
  <c r="D14" i="23"/>
  <c r="C89" i="23"/>
  <c r="D13" i="23"/>
  <c r="C88" i="23"/>
  <c r="D12" i="23"/>
  <c r="C87" i="23"/>
  <c r="D11" i="23"/>
  <c r="C86" i="23"/>
  <c r="D10" i="23"/>
  <c r="C85" i="23"/>
  <c r="Q27" i="20"/>
  <c r="R27" i="20"/>
  <c r="S27" i="20"/>
  <c r="T27" i="20"/>
  <c r="U27" i="20"/>
  <c r="V27" i="20"/>
  <c r="W27" i="20"/>
  <c r="X27" i="20"/>
  <c r="Q38" i="20"/>
  <c r="R38" i="20"/>
  <c r="S38" i="20"/>
  <c r="T38" i="20"/>
  <c r="U38" i="20"/>
  <c r="V38" i="20"/>
  <c r="W38" i="20"/>
  <c r="X38" i="20"/>
  <c r="Q44" i="20"/>
  <c r="R44" i="20"/>
  <c r="S44" i="20"/>
  <c r="T44" i="20"/>
  <c r="U44" i="20"/>
  <c r="V44" i="20"/>
  <c r="W44" i="20"/>
  <c r="X44" i="20"/>
  <c r="Q51" i="20"/>
  <c r="R51" i="20"/>
  <c r="S51" i="20"/>
  <c r="T51" i="20"/>
  <c r="U51" i="20"/>
  <c r="V51" i="20"/>
  <c r="W51" i="20"/>
  <c r="X51" i="20"/>
  <c r="J76" i="20"/>
  <c r="I76" i="20"/>
  <c r="H76" i="20"/>
  <c r="G76" i="20"/>
  <c r="F76" i="20"/>
  <c r="E76" i="20"/>
  <c r="D76" i="20"/>
  <c r="C76" i="20"/>
  <c r="AE47" i="20"/>
  <c r="AD47" i="20"/>
  <c r="AC47" i="20"/>
  <c r="AB47" i="20"/>
  <c r="AA47" i="20"/>
  <c r="AE36" i="20"/>
  <c r="AD36" i="20"/>
  <c r="AC36" i="20"/>
  <c r="AB36" i="20"/>
  <c r="AA36" i="20"/>
  <c r="AE28" i="20"/>
  <c r="AD28" i="20"/>
  <c r="AC28" i="20"/>
  <c r="AB28" i="20"/>
  <c r="AA28" i="20"/>
  <c r="AE26" i="20"/>
  <c r="AD26" i="20"/>
  <c r="AC26" i="20"/>
  <c r="AB26" i="20"/>
  <c r="AA26" i="20"/>
  <c r="AE25" i="20"/>
  <c r="AD25" i="20"/>
  <c r="AC25" i="20"/>
  <c r="AB25" i="20"/>
  <c r="AA25" i="20"/>
  <c r="Q22" i="20"/>
  <c r="T22" i="20"/>
  <c r="U22" i="20"/>
  <c r="V22" i="20"/>
  <c r="W22" i="20"/>
  <c r="X22" i="20"/>
  <c r="Q21" i="20"/>
  <c r="R21" i="20"/>
  <c r="S21" i="20"/>
  <c r="T21" i="20"/>
  <c r="U21" i="20"/>
  <c r="V21" i="20"/>
  <c r="W21" i="20"/>
  <c r="X21" i="20"/>
  <c r="Q40" i="20"/>
  <c r="R40" i="20"/>
  <c r="S40" i="20"/>
  <c r="T40" i="20"/>
  <c r="U40" i="20"/>
  <c r="V40" i="20"/>
  <c r="W40" i="20"/>
  <c r="X40" i="20"/>
  <c r="E70" i="13" l="1"/>
  <c r="D70" i="13"/>
  <c r="F70" i="13"/>
  <c r="G70" i="13"/>
  <c r="AE27" i="20"/>
  <c r="AB38" i="20"/>
  <c r="AE38" i="20"/>
  <c r="AD38" i="20"/>
  <c r="AA38" i="20"/>
  <c r="AB44" i="20"/>
  <c r="AA44" i="20"/>
  <c r="AE51" i="20"/>
  <c r="AC51" i="20"/>
  <c r="AC38" i="20"/>
  <c r="AD51" i="20"/>
  <c r="AB51" i="20"/>
  <c r="AC27" i="20"/>
  <c r="AD27" i="20"/>
  <c r="AA27" i="20"/>
  <c r="AC44" i="20"/>
  <c r="AB27" i="20"/>
  <c r="AD44" i="20"/>
  <c r="AE44" i="20"/>
  <c r="AA51" i="20"/>
  <c r="C74" i="23"/>
  <c r="AD40" i="20"/>
  <c r="AC40" i="20"/>
  <c r="AB40" i="20"/>
  <c r="AA40" i="20"/>
  <c r="AE21" i="20"/>
  <c r="AD21" i="20"/>
  <c r="AC21" i="20"/>
  <c r="AB21" i="20"/>
  <c r="AA21" i="20"/>
  <c r="AE22" i="20"/>
  <c r="AD22" i="20"/>
  <c r="AC22" i="20"/>
  <c r="AB22" i="20"/>
  <c r="AA22" i="20"/>
  <c r="Q13" i="20" l="1"/>
  <c r="X10" i="20"/>
  <c r="Q10" i="20"/>
  <c r="Q18" i="20"/>
  <c r="Q14" i="20"/>
  <c r="R18" i="20"/>
  <c r="S18" i="20"/>
  <c r="T18" i="20"/>
  <c r="U18" i="20"/>
  <c r="V18" i="20"/>
  <c r="W18" i="20"/>
  <c r="X18" i="20"/>
  <c r="S8" i="20"/>
  <c r="T8" i="20"/>
  <c r="U8" i="20"/>
  <c r="V8" i="20"/>
  <c r="W8" i="20"/>
  <c r="X8" i="20"/>
  <c r="S9" i="20"/>
  <c r="T9" i="20"/>
  <c r="U9" i="20"/>
  <c r="V9" i="20"/>
  <c r="W9" i="20"/>
  <c r="X9" i="20"/>
  <c r="S10" i="20"/>
  <c r="T10" i="20"/>
  <c r="U10" i="20"/>
  <c r="V10" i="20"/>
  <c r="W10" i="20"/>
  <c r="S11" i="20"/>
  <c r="T11" i="20"/>
  <c r="U11" i="20"/>
  <c r="V11" i="20"/>
  <c r="W11" i="20"/>
  <c r="X11" i="20"/>
  <c r="S12" i="20"/>
  <c r="T12" i="20"/>
  <c r="U12" i="20"/>
  <c r="V12" i="20"/>
  <c r="W12" i="20"/>
  <c r="X12" i="20"/>
  <c r="S13" i="20"/>
  <c r="T13" i="20"/>
  <c r="U13" i="20"/>
  <c r="V13" i="20"/>
  <c r="W13" i="20"/>
  <c r="X13" i="20"/>
  <c r="S14" i="20"/>
  <c r="T14" i="20"/>
  <c r="U14" i="20"/>
  <c r="V14" i="20"/>
  <c r="W14" i="20"/>
  <c r="X14" i="20"/>
  <c r="S15" i="20"/>
  <c r="T15" i="20"/>
  <c r="U15" i="20"/>
  <c r="V15" i="20"/>
  <c r="W15" i="20"/>
  <c r="X15" i="20"/>
  <c r="S16" i="20"/>
  <c r="T16" i="20"/>
  <c r="U16" i="20"/>
  <c r="V16" i="20"/>
  <c r="W16" i="20"/>
  <c r="X16" i="20"/>
  <c r="S17" i="20"/>
  <c r="T17" i="20"/>
  <c r="U17" i="20"/>
  <c r="V17" i="20"/>
  <c r="W17" i="20"/>
  <c r="X17" i="20"/>
  <c r="S19" i="20"/>
  <c r="T19" i="20"/>
  <c r="U19" i="20"/>
  <c r="V19" i="20"/>
  <c r="W19" i="20"/>
  <c r="X19" i="20"/>
  <c r="S20" i="20"/>
  <c r="T20" i="20"/>
  <c r="U20" i="20"/>
  <c r="V20" i="20"/>
  <c r="W20" i="20"/>
  <c r="X20" i="20"/>
  <c r="S24" i="20"/>
  <c r="T24" i="20"/>
  <c r="U24" i="20"/>
  <c r="V24" i="20"/>
  <c r="W24" i="20"/>
  <c r="X24" i="20"/>
  <c r="S29" i="20"/>
  <c r="T29" i="20"/>
  <c r="U29" i="20"/>
  <c r="V29" i="20"/>
  <c r="W29" i="20"/>
  <c r="X29" i="20"/>
  <c r="S30" i="20"/>
  <c r="T30" i="20"/>
  <c r="U30" i="20"/>
  <c r="V30" i="20"/>
  <c r="W30" i="20"/>
  <c r="X30" i="20"/>
  <c r="S31" i="20"/>
  <c r="T31" i="20"/>
  <c r="U31" i="20"/>
  <c r="V31" i="20"/>
  <c r="W31" i="20"/>
  <c r="X31" i="20"/>
  <c r="S32" i="20"/>
  <c r="T32" i="20"/>
  <c r="U32" i="20"/>
  <c r="V32" i="20"/>
  <c r="W32" i="20"/>
  <c r="X32" i="20"/>
  <c r="S33" i="20"/>
  <c r="T33" i="20"/>
  <c r="U33" i="20"/>
  <c r="V33" i="20"/>
  <c r="W33" i="20"/>
  <c r="X33" i="20"/>
  <c r="S34" i="20"/>
  <c r="T34" i="20"/>
  <c r="U34" i="20"/>
  <c r="V34" i="20"/>
  <c r="W34" i="20"/>
  <c r="X34" i="20"/>
  <c r="S35" i="20"/>
  <c r="T35" i="20"/>
  <c r="U35" i="20"/>
  <c r="V35" i="20"/>
  <c r="W35" i="20"/>
  <c r="X35" i="20"/>
  <c r="S37" i="20"/>
  <c r="T37" i="20"/>
  <c r="U37" i="20"/>
  <c r="V37" i="20"/>
  <c r="W37" i="20"/>
  <c r="X37" i="20"/>
  <c r="S39" i="20"/>
  <c r="T39" i="20"/>
  <c r="U39" i="20"/>
  <c r="V39" i="20"/>
  <c r="W39" i="20"/>
  <c r="X39" i="20"/>
  <c r="S41" i="20"/>
  <c r="T41" i="20"/>
  <c r="U41" i="20"/>
  <c r="V41" i="20"/>
  <c r="W41" i="20"/>
  <c r="X41" i="20"/>
  <c r="S42" i="20"/>
  <c r="T42" i="20"/>
  <c r="U42" i="20"/>
  <c r="V42" i="20"/>
  <c r="W42" i="20"/>
  <c r="X42" i="20"/>
  <c r="S43" i="20"/>
  <c r="T43" i="20"/>
  <c r="U43" i="20"/>
  <c r="V43" i="20"/>
  <c r="W43" i="20"/>
  <c r="X43" i="20"/>
  <c r="S45" i="20"/>
  <c r="T45" i="20"/>
  <c r="U45" i="20"/>
  <c r="V45" i="20"/>
  <c r="W45" i="20"/>
  <c r="X45" i="20"/>
  <c r="S46" i="20"/>
  <c r="T46" i="20"/>
  <c r="U46" i="20"/>
  <c r="V46" i="20"/>
  <c r="W46" i="20"/>
  <c r="X46" i="20"/>
  <c r="S48" i="20"/>
  <c r="T48" i="20"/>
  <c r="U48" i="20"/>
  <c r="V48" i="20"/>
  <c r="W48" i="20"/>
  <c r="X48" i="20"/>
  <c r="S49" i="20"/>
  <c r="T49" i="20"/>
  <c r="U49" i="20"/>
  <c r="V49" i="20"/>
  <c r="W49" i="20"/>
  <c r="X49" i="20"/>
  <c r="S50" i="20"/>
  <c r="T50" i="20"/>
  <c r="U50" i="20"/>
  <c r="V50" i="20"/>
  <c r="W50" i="20"/>
  <c r="X50" i="20"/>
  <c r="S52" i="20"/>
  <c r="T52" i="20"/>
  <c r="U52" i="20"/>
  <c r="V52" i="20"/>
  <c r="W52" i="20"/>
  <c r="X52" i="20"/>
  <c r="S53" i="20"/>
  <c r="T53" i="20"/>
  <c r="U53" i="20"/>
  <c r="V53" i="20"/>
  <c r="W53" i="20"/>
  <c r="X53" i="20"/>
  <c r="S54" i="20"/>
  <c r="T54" i="20"/>
  <c r="U54" i="20"/>
  <c r="V54" i="20"/>
  <c r="W54" i="20"/>
  <c r="X54" i="20"/>
  <c r="S55" i="20"/>
  <c r="T55" i="20"/>
  <c r="U55" i="20"/>
  <c r="V55" i="20"/>
  <c r="W55" i="20"/>
  <c r="X55" i="20"/>
  <c r="S57" i="20"/>
  <c r="T57" i="20"/>
  <c r="U57" i="20"/>
  <c r="V57" i="20"/>
  <c r="W57" i="20"/>
  <c r="X57" i="20"/>
  <c r="Q9" i="20"/>
  <c r="R9" i="20"/>
  <c r="R10" i="20"/>
  <c r="Q11" i="20"/>
  <c r="R11" i="20"/>
  <c r="Q12" i="20"/>
  <c r="R12" i="20"/>
  <c r="R13" i="20"/>
  <c r="R14" i="20"/>
  <c r="Q15" i="20"/>
  <c r="R15" i="20"/>
  <c r="Q16" i="20"/>
  <c r="R16" i="20"/>
  <c r="Q17" i="20"/>
  <c r="R17" i="20"/>
  <c r="Q19" i="20"/>
  <c r="R19" i="20"/>
  <c r="Q20" i="20"/>
  <c r="R20" i="20"/>
  <c r="Q24" i="20"/>
  <c r="R24" i="20"/>
  <c r="Q29" i="20"/>
  <c r="R29" i="20"/>
  <c r="Q30" i="20"/>
  <c r="R30" i="20"/>
  <c r="Q31" i="20"/>
  <c r="R31" i="20"/>
  <c r="Q32" i="20"/>
  <c r="R32" i="20"/>
  <c r="Q33" i="20"/>
  <c r="R33" i="20"/>
  <c r="Q34" i="20"/>
  <c r="R34" i="20"/>
  <c r="Q35" i="20"/>
  <c r="R35" i="20"/>
  <c r="Q37" i="20"/>
  <c r="R37" i="20"/>
  <c r="Q39" i="20"/>
  <c r="R39" i="20"/>
  <c r="Q41" i="20"/>
  <c r="R41" i="20"/>
  <c r="Q42" i="20"/>
  <c r="R42" i="20"/>
  <c r="Q43" i="20"/>
  <c r="R43" i="20"/>
  <c r="Q45" i="20"/>
  <c r="R45" i="20"/>
  <c r="Q46" i="20"/>
  <c r="R46" i="20"/>
  <c r="Q48" i="20"/>
  <c r="R48" i="20"/>
  <c r="Q49" i="20"/>
  <c r="R49" i="20"/>
  <c r="Q50" i="20"/>
  <c r="R50" i="20"/>
  <c r="Q52" i="20"/>
  <c r="R52" i="20"/>
  <c r="Q53" i="20"/>
  <c r="R53" i="20"/>
  <c r="Q54" i="20"/>
  <c r="R54" i="20"/>
  <c r="Q55" i="20"/>
  <c r="R55" i="20"/>
  <c r="Q57" i="20"/>
  <c r="R57" i="20"/>
  <c r="Q8" i="20"/>
  <c r="R8" i="20"/>
  <c r="D8" i="11"/>
  <c r="D12" i="11"/>
  <c r="D34" i="11"/>
  <c r="D53" i="11"/>
  <c r="D54" i="11"/>
  <c r="AB8" i="20" l="1"/>
  <c r="AA8" i="20"/>
  <c r="AE8" i="20"/>
  <c r="AE10" i="20"/>
  <c r="C158" i="11"/>
  <c r="C92" i="11"/>
  <c r="C182" i="11"/>
  <c r="C116" i="11"/>
  <c r="C151" i="11"/>
  <c r="C85" i="11"/>
  <c r="C164" i="11"/>
  <c r="C98" i="11"/>
  <c r="C143" i="11"/>
  <c r="C77" i="11"/>
  <c r="C147" i="11"/>
  <c r="C81" i="11"/>
  <c r="C139" i="11"/>
  <c r="C73" i="11"/>
  <c r="D73" i="11"/>
  <c r="E73" i="11" s="1"/>
  <c r="C154" i="11"/>
  <c r="C88" i="11"/>
  <c r="C185" i="11"/>
  <c r="C119" i="11"/>
  <c r="C169" i="11"/>
  <c r="C103" i="11"/>
  <c r="C161" i="11"/>
  <c r="C95" i="11"/>
  <c r="C178" i="11"/>
  <c r="C112" i="11"/>
  <c r="C165" i="11"/>
  <c r="C99" i="11"/>
  <c r="C172" i="11"/>
  <c r="C106" i="11"/>
  <c r="H8" i="11"/>
  <c r="AB20" i="20"/>
  <c r="AB43" i="20"/>
  <c r="AB32" i="20"/>
  <c r="AB10" i="20"/>
  <c r="AB34" i="20"/>
  <c r="AB57" i="20"/>
  <c r="AB53" i="20"/>
  <c r="AB50" i="20"/>
  <c r="AB39" i="20"/>
  <c r="AB29" i="20"/>
  <c r="AB16" i="20"/>
  <c r="AB13" i="20"/>
  <c r="AB42" i="20"/>
  <c r="AB31" i="20"/>
  <c r="AB19" i="20"/>
  <c r="AB24" i="20"/>
  <c r="AB55" i="20"/>
  <c r="AB49" i="20"/>
  <c r="AB37" i="20"/>
  <c r="AB15" i="20"/>
  <c r="AB12" i="20"/>
  <c r="AB46" i="20"/>
  <c r="AB45" i="20"/>
  <c r="AB33" i="20"/>
  <c r="AB9" i="20"/>
  <c r="AB52" i="20"/>
  <c r="AB41" i="20"/>
  <c r="AB30" i="20"/>
  <c r="AB17" i="20"/>
  <c r="AB54" i="20"/>
  <c r="AB48" i="20"/>
  <c r="AB35" i="20"/>
  <c r="AB14" i="20"/>
  <c r="AB11" i="20"/>
  <c r="E32" i="11"/>
  <c r="O97" i="11" s="1"/>
  <c r="AA57" i="20"/>
  <c r="AA55" i="20"/>
  <c r="AA54" i="20"/>
  <c r="AA53" i="20"/>
  <c r="AA52" i="20"/>
  <c r="AA50" i="20"/>
  <c r="AA49" i="20"/>
  <c r="AA48" i="20"/>
  <c r="AA46" i="20"/>
  <c r="AA45" i="20"/>
  <c r="AA43" i="20"/>
  <c r="AA42" i="20"/>
  <c r="AA41" i="20"/>
  <c r="AA39" i="20"/>
  <c r="AA37" i="20"/>
  <c r="AA35" i="20"/>
  <c r="AA34" i="20"/>
  <c r="AA33" i="20"/>
  <c r="AA32" i="20"/>
  <c r="AA31" i="20"/>
  <c r="AA30" i="20"/>
  <c r="AA29" i="20"/>
  <c r="AA24" i="20"/>
  <c r="AA20" i="20"/>
  <c r="AA19" i="20"/>
  <c r="AA17" i="20"/>
  <c r="AA16" i="20"/>
  <c r="AA15" i="20"/>
  <c r="AA13" i="20"/>
  <c r="AA12" i="20"/>
  <c r="AA11" i="20"/>
  <c r="AA10" i="20"/>
  <c r="AA9" i="20"/>
  <c r="AE57" i="20"/>
  <c r="AD57" i="20"/>
  <c r="AC57" i="20"/>
  <c r="AE55" i="20"/>
  <c r="AD55" i="20"/>
  <c r="AC55" i="20"/>
  <c r="AE54" i="20"/>
  <c r="AD54" i="20"/>
  <c r="AC54" i="20"/>
  <c r="AE53" i="20"/>
  <c r="AD53" i="20"/>
  <c r="AC53" i="20"/>
  <c r="AE52" i="20"/>
  <c r="AD52" i="20"/>
  <c r="AC52" i="20"/>
  <c r="AE50" i="20"/>
  <c r="AD50" i="20"/>
  <c r="AC50" i="20"/>
  <c r="AE49" i="20"/>
  <c r="AD49" i="20"/>
  <c r="AC49" i="20"/>
  <c r="AE48" i="20"/>
  <c r="AD48" i="20"/>
  <c r="AC48" i="20"/>
  <c r="AE46" i="20"/>
  <c r="AD46" i="20"/>
  <c r="AC46" i="20"/>
  <c r="AE45" i="20"/>
  <c r="AD45" i="20"/>
  <c r="AC45" i="20"/>
  <c r="AE43" i="20"/>
  <c r="AD43" i="20"/>
  <c r="AC43" i="20"/>
  <c r="AE42" i="20"/>
  <c r="AD42" i="20"/>
  <c r="AC42" i="20"/>
  <c r="AE41" i="20"/>
  <c r="AD41" i="20"/>
  <c r="AC41" i="20"/>
  <c r="AE39" i="20"/>
  <c r="AD39" i="20"/>
  <c r="AC39" i="20"/>
  <c r="AE37" i="20"/>
  <c r="AD37" i="20"/>
  <c r="AC37" i="20"/>
  <c r="AE35" i="20"/>
  <c r="AD35" i="20"/>
  <c r="AC35" i="20"/>
  <c r="AE34" i="20"/>
  <c r="AD34" i="20"/>
  <c r="AC34" i="20"/>
  <c r="AE33" i="20"/>
  <c r="AD33" i="20"/>
  <c r="AC33" i="20"/>
  <c r="AE32" i="20"/>
  <c r="AD32" i="20"/>
  <c r="AC32" i="20"/>
  <c r="AE31" i="20"/>
  <c r="AD31" i="20"/>
  <c r="AC31" i="20"/>
  <c r="AE30" i="20"/>
  <c r="AD30" i="20"/>
  <c r="AC30" i="20"/>
  <c r="AE29" i="20"/>
  <c r="AD29" i="20"/>
  <c r="AC29" i="20"/>
  <c r="AE24" i="20"/>
  <c r="AD24" i="20"/>
  <c r="AC24" i="20"/>
  <c r="AE20" i="20"/>
  <c r="AD20" i="20"/>
  <c r="AC20" i="20"/>
  <c r="AE19" i="20"/>
  <c r="AD19" i="20"/>
  <c r="AC19" i="20"/>
  <c r="AE17" i="20"/>
  <c r="AD17" i="20"/>
  <c r="AC17" i="20"/>
  <c r="AE16" i="20"/>
  <c r="AD16" i="20"/>
  <c r="AC16" i="20"/>
  <c r="AE15" i="20"/>
  <c r="AD15" i="20"/>
  <c r="AC15" i="20"/>
  <c r="AE14" i="20"/>
  <c r="AD14" i="20"/>
  <c r="AC14" i="20"/>
  <c r="AE13" i="20"/>
  <c r="AD13" i="20"/>
  <c r="AC13" i="20"/>
  <c r="AE12" i="20"/>
  <c r="AD12" i="20"/>
  <c r="AC12" i="20"/>
  <c r="AE11" i="20"/>
  <c r="AD11" i="20"/>
  <c r="AC11" i="20"/>
  <c r="AD10" i="20"/>
  <c r="AC10" i="20"/>
  <c r="AE9" i="20"/>
  <c r="AD9" i="20"/>
  <c r="AC9" i="20"/>
  <c r="AD8" i="20"/>
  <c r="AC8" i="20"/>
  <c r="AE18" i="20"/>
  <c r="AD18" i="20"/>
  <c r="AC18" i="20"/>
  <c r="AB18" i="20"/>
  <c r="AA18" i="20"/>
  <c r="AA14" i="20"/>
  <c r="D51" i="11"/>
  <c r="D38" i="11"/>
  <c r="D30" i="11"/>
  <c r="D23" i="11"/>
  <c r="D16" i="11"/>
  <c r="D57" i="11"/>
  <c r="D50" i="11"/>
  <c r="D44" i="11"/>
  <c r="D37" i="11"/>
  <c r="D29" i="11"/>
  <c r="D22" i="11"/>
  <c r="D15" i="11"/>
  <c r="D49" i="11"/>
  <c r="D43" i="11"/>
  <c r="D36" i="11"/>
  <c r="D28" i="11"/>
  <c r="D21" i="11"/>
  <c r="D14" i="11"/>
  <c r="D55" i="11"/>
  <c r="D48" i="11"/>
  <c r="D42" i="11"/>
  <c r="D35" i="11"/>
  <c r="D13" i="11"/>
  <c r="D47" i="11"/>
  <c r="D41" i="11"/>
  <c r="D27" i="11"/>
  <c r="D20" i="11"/>
  <c r="D46" i="11"/>
  <c r="D33" i="11"/>
  <c r="D26" i="11"/>
  <c r="D19" i="11"/>
  <c r="D11" i="11"/>
  <c r="D32" i="11"/>
  <c r="D25" i="11"/>
  <c r="D18" i="11"/>
  <c r="D10" i="11"/>
  <c r="D52" i="11"/>
  <c r="D45" i="11"/>
  <c r="D39" i="11"/>
  <c r="D31" i="11"/>
  <c r="D24" i="11"/>
  <c r="D17" i="11"/>
  <c r="D9" i="11"/>
  <c r="I4" i="11"/>
  <c r="K139" i="11" l="1"/>
  <c r="M163" i="11"/>
  <c r="F139" i="11"/>
  <c r="AA23" i="20"/>
  <c r="AA65" i="20" s="1"/>
  <c r="AC23" i="20"/>
  <c r="AC65" i="20" s="1"/>
  <c r="AB23" i="20"/>
  <c r="AB65" i="20" s="1"/>
  <c r="AD23" i="20"/>
  <c r="AD65" i="20" s="1"/>
  <c r="AE23" i="20"/>
  <c r="C156" i="11"/>
  <c r="C90" i="11"/>
  <c r="C183" i="11"/>
  <c r="C117" i="11"/>
  <c r="C163" i="11"/>
  <c r="C97" i="11"/>
  <c r="C142" i="11"/>
  <c r="C76" i="11"/>
  <c r="C167" i="11"/>
  <c r="C101" i="11"/>
  <c r="C188" i="11"/>
  <c r="C122" i="11"/>
  <c r="C159" i="11"/>
  <c r="C93" i="11"/>
  <c r="C157" i="11"/>
  <c r="C91" i="11"/>
  <c r="C144" i="11"/>
  <c r="C78" i="11"/>
  <c r="C180" i="11"/>
  <c r="C114" i="11"/>
  <c r="C146" i="11"/>
  <c r="C80" i="11"/>
  <c r="C176" i="11"/>
  <c r="C110" i="11"/>
  <c r="C148" i="11"/>
  <c r="C82" i="11"/>
  <c r="C171" i="11"/>
  <c r="C105" i="11"/>
  <c r="C166" i="11"/>
  <c r="C100" i="11"/>
  <c r="C153" i="11"/>
  <c r="C87" i="11"/>
  <c r="I66" i="11"/>
  <c r="K76" i="11"/>
  <c r="F80" i="11"/>
  <c r="K84" i="11"/>
  <c r="F88" i="11"/>
  <c r="K92" i="11"/>
  <c r="F96" i="11"/>
  <c r="K100" i="11"/>
  <c r="F104" i="11"/>
  <c r="F108" i="11"/>
  <c r="K112" i="11"/>
  <c r="F116" i="11"/>
  <c r="K75" i="11"/>
  <c r="F79" i="11"/>
  <c r="K83" i="11"/>
  <c r="F87" i="11"/>
  <c r="K91" i="11"/>
  <c r="F95" i="11"/>
  <c r="K99" i="11"/>
  <c r="F103" i="11"/>
  <c r="F107" i="11"/>
  <c r="K111" i="11"/>
  <c r="F115" i="11"/>
  <c r="K74" i="11"/>
  <c r="F78" i="11"/>
  <c r="K82" i="11"/>
  <c r="F86" i="11"/>
  <c r="K90" i="11"/>
  <c r="F94" i="11"/>
  <c r="K98" i="11"/>
  <c r="F102" i="11"/>
  <c r="F106" i="11"/>
  <c r="K110" i="11"/>
  <c r="F114" i="11"/>
  <c r="K118" i="11"/>
  <c r="F122" i="11"/>
  <c r="K73" i="11"/>
  <c r="F77" i="11"/>
  <c r="K81" i="11"/>
  <c r="F85" i="11"/>
  <c r="K89" i="11"/>
  <c r="F93" i="11"/>
  <c r="K97" i="11"/>
  <c r="F101" i="11"/>
  <c r="K109" i="11"/>
  <c r="F113" i="11"/>
  <c r="K117" i="11"/>
  <c r="F121" i="11"/>
  <c r="G121" i="11" s="1"/>
  <c r="F76" i="11"/>
  <c r="K80" i="11"/>
  <c r="F84" i="11"/>
  <c r="K88" i="11"/>
  <c r="F92" i="11"/>
  <c r="K96" i="11"/>
  <c r="F100" i="11"/>
  <c r="K104" i="11"/>
  <c r="K108" i="11"/>
  <c r="F112" i="11"/>
  <c r="K116" i="11"/>
  <c r="F120" i="11"/>
  <c r="F74" i="11"/>
  <c r="K78" i="11"/>
  <c r="F82" i="11"/>
  <c r="K86" i="11"/>
  <c r="F90" i="11"/>
  <c r="K94" i="11"/>
  <c r="F98" i="11"/>
  <c r="K102" i="11"/>
  <c r="K106" i="11"/>
  <c r="F110" i="11"/>
  <c r="K114" i="11"/>
  <c r="F118" i="11"/>
  <c r="K122" i="11"/>
  <c r="F73" i="11"/>
  <c r="G73" i="11" s="1"/>
  <c r="F89" i="11"/>
  <c r="K101" i="11"/>
  <c r="F117" i="11"/>
  <c r="K113" i="11"/>
  <c r="F83" i="11"/>
  <c r="K103" i="11"/>
  <c r="F111" i="11"/>
  <c r="K120" i="11"/>
  <c r="K121" i="11"/>
  <c r="K77" i="11"/>
  <c r="F97" i="11"/>
  <c r="K119" i="11"/>
  <c r="F91" i="11"/>
  <c r="K107" i="11"/>
  <c r="K85" i="11"/>
  <c r="K79" i="11"/>
  <c r="K87" i="11"/>
  <c r="F99" i="11"/>
  <c r="K115" i="11"/>
  <c r="F81" i="11"/>
  <c r="K93" i="11"/>
  <c r="F109" i="11"/>
  <c r="F75" i="11"/>
  <c r="K95" i="11"/>
  <c r="F119" i="11"/>
  <c r="C174" i="11"/>
  <c r="C108" i="11"/>
  <c r="C155" i="11"/>
  <c r="C89" i="11"/>
  <c r="D97" i="11"/>
  <c r="E97" i="11" s="1"/>
  <c r="C177" i="11"/>
  <c r="C111" i="11"/>
  <c r="C173" i="11"/>
  <c r="C107" i="11"/>
  <c r="C160" i="11"/>
  <c r="C94" i="11"/>
  <c r="C150" i="11"/>
  <c r="C84" i="11"/>
  <c r="C162" i="11"/>
  <c r="C96" i="11"/>
  <c r="C141" i="11"/>
  <c r="C75" i="11"/>
  <c r="C184" i="11"/>
  <c r="C118" i="11"/>
  <c r="C179" i="11"/>
  <c r="C113" i="11"/>
  <c r="C145" i="11"/>
  <c r="C79" i="11"/>
  <c r="C168" i="11"/>
  <c r="C102" i="11"/>
  <c r="C181" i="11"/>
  <c r="C115" i="11"/>
  <c r="C140" i="11"/>
  <c r="C74" i="11"/>
  <c r="C170" i="11"/>
  <c r="C104" i="11"/>
  <c r="C149" i="11"/>
  <c r="C83" i="11"/>
  <c r="C186" i="11"/>
  <c r="C120" i="11"/>
  <c r="C152" i="11"/>
  <c r="C86" i="11"/>
  <c r="C175" i="11"/>
  <c r="C109" i="11"/>
  <c r="G139" i="11"/>
  <c r="G147" i="11"/>
  <c r="G155" i="11"/>
  <c r="G163" i="11"/>
  <c r="G171" i="11"/>
  <c r="H171" i="11" s="1"/>
  <c r="I171" i="11" s="1"/>
  <c r="G179" i="11"/>
  <c r="G187" i="11"/>
  <c r="H187" i="11" s="1"/>
  <c r="G144" i="11"/>
  <c r="G152" i="11"/>
  <c r="G160" i="11"/>
  <c r="G168" i="11"/>
  <c r="G176" i="11"/>
  <c r="G184" i="11"/>
  <c r="G142" i="11"/>
  <c r="G166" i="11"/>
  <c r="G141" i="11"/>
  <c r="G149" i="11"/>
  <c r="G157" i="11"/>
  <c r="G165" i="11"/>
  <c r="G173" i="11"/>
  <c r="G181" i="11"/>
  <c r="G158" i="11"/>
  <c r="G174" i="11"/>
  <c r="G146" i="11"/>
  <c r="G154" i="11"/>
  <c r="G162" i="11"/>
  <c r="G170" i="11"/>
  <c r="G178" i="11"/>
  <c r="G186" i="11"/>
  <c r="G143" i="11"/>
  <c r="G151" i="11"/>
  <c r="G159" i="11"/>
  <c r="G167" i="11"/>
  <c r="G175" i="11"/>
  <c r="G183" i="11"/>
  <c r="G182" i="11"/>
  <c r="G140" i="11"/>
  <c r="G148" i="11"/>
  <c r="G156" i="11"/>
  <c r="G164" i="11"/>
  <c r="G172" i="11"/>
  <c r="G180" i="11"/>
  <c r="G188" i="11"/>
  <c r="G150" i="11"/>
  <c r="G145" i="11"/>
  <c r="G153" i="11"/>
  <c r="G161" i="11"/>
  <c r="G169" i="11"/>
  <c r="G177" i="11"/>
  <c r="G185" i="11"/>
  <c r="K133" i="23"/>
  <c r="E133" i="23"/>
  <c r="G58" i="23"/>
  <c r="I56" i="11"/>
  <c r="J56" i="11" s="1"/>
  <c r="E34" i="23"/>
  <c r="I8" i="11"/>
  <c r="I13" i="11"/>
  <c r="D202" i="23" l="1"/>
  <c r="L56" i="11"/>
  <c r="K163" i="11"/>
  <c r="AE65" i="20"/>
  <c r="G97" i="11"/>
  <c r="I187" i="11"/>
  <c r="K109" i="23"/>
  <c r="D109" i="23"/>
  <c r="E109" i="23" s="1"/>
  <c r="G34" i="23"/>
  <c r="I32" i="11" l="1"/>
  <c r="I25" i="11"/>
  <c r="I12" i="11"/>
  <c r="I11" i="11"/>
  <c r="I47" i="11"/>
  <c r="I41" i="11"/>
  <c r="I33" i="11"/>
  <c r="I46" i="11"/>
  <c r="I27" i="11"/>
  <c r="I10" i="11"/>
  <c r="I26" i="11"/>
  <c r="I20" i="11"/>
  <c r="I54" i="11"/>
  <c r="I19" i="11"/>
  <c r="I53" i="11"/>
  <c r="I34" i="11"/>
  <c r="I18" i="11"/>
  <c r="I52" i="11"/>
  <c r="I45" i="11"/>
  <c r="I39" i="11"/>
  <c r="I31" i="11"/>
  <c r="I24" i="11"/>
  <c r="I17" i="11"/>
  <c r="I9" i="11"/>
  <c r="I51" i="11"/>
  <c r="I38" i="11"/>
  <c r="I30" i="11"/>
  <c r="I23" i="11"/>
  <c r="I16" i="11"/>
  <c r="I57" i="11"/>
  <c r="I50" i="11"/>
  <c r="I44" i="11"/>
  <c r="I37" i="11"/>
  <c r="I29" i="11"/>
  <c r="I22" i="11"/>
  <c r="I15" i="11"/>
  <c r="I49" i="11"/>
  <c r="I43" i="11"/>
  <c r="I36" i="11"/>
  <c r="I28" i="11"/>
  <c r="I21" i="11"/>
  <c r="I14" i="11"/>
  <c r="I55" i="11"/>
  <c r="I48" i="11"/>
  <c r="I42" i="11"/>
  <c r="I35" i="11"/>
  <c r="E45" i="11" l="1"/>
  <c r="E50" i="11"/>
  <c r="E21" i="11"/>
  <c r="E36" i="11"/>
  <c r="E49" i="11"/>
  <c r="E22" i="11"/>
  <c r="E15" i="11"/>
  <c r="E46" i="11"/>
  <c r="E20" i="11"/>
  <c r="E34" i="11"/>
  <c r="E47" i="11"/>
  <c r="E9" i="11"/>
  <c r="E25" i="11"/>
  <c r="E33" i="11"/>
  <c r="E38" i="11"/>
  <c r="E24" i="11"/>
  <c r="E19" i="11"/>
  <c r="E14" i="11"/>
  <c r="E28" i="11"/>
  <c r="E43" i="11"/>
  <c r="E44" i="11"/>
  <c r="E29" i="11"/>
  <c r="E17" i="11"/>
  <c r="E12" i="11"/>
  <c r="E27" i="11"/>
  <c r="E41" i="11"/>
  <c r="E54" i="11"/>
  <c r="E39" i="11"/>
  <c r="E57" i="11"/>
  <c r="E10" i="11"/>
  <c r="E26" i="11"/>
  <c r="E31" i="11"/>
  <c r="E35" i="11"/>
  <c r="E37" i="11"/>
  <c r="E18" i="11"/>
  <c r="E11" i="11"/>
  <c r="E53" i="11"/>
  <c r="E16" i="11"/>
  <c r="E30" i="11"/>
  <c r="E13" i="11"/>
  <c r="E52" i="11"/>
  <c r="E42" i="11"/>
  <c r="E55" i="11"/>
  <c r="E23" i="11"/>
  <c r="E48" i="11"/>
  <c r="E51" i="11"/>
  <c r="M144" i="11" l="1"/>
  <c r="M155" i="11"/>
  <c r="M148" i="11"/>
  <c r="M160" i="11"/>
  <c r="M169" i="11"/>
  <c r="M188" i="11"/>
  <c r="M162" i="11"/>
  <c r="M177" i="11"/>
  <c r="M157" i="11"/>
  <c r="M182" i="11"/>
  <c r="M141" i="11"/>
  <c r="M153" i="11"/>
  <c r="M184" i="11"/>
  <c r="M156" i="11"/>
  <c r="M154" i="11"/>
  <c r="M170" i="11"/>
  <c r="M167" i="11"/>
  <c r="M149" i="11"/>
  <c r="M145" i="11"/>
  <c r="M181" i="11"/>
  <c r="M143" i="11"/>
  <c r="M161" i="11"/>
  <c r="M146" i="11"/>
  <c r="M147" i="11"/>
  <c r="M164" i="11"/>
  <c r="M179" i="11"/>
  <c r="M175" i="11"/>
  <c r="M180" i="11"/>
  <c r="M142" i="11"/>
  <c r="M174" i="11"/>
  <c r="M140" i="11"/>
  <c r="M186" i="11"/>
  <c r="M185" i="11"/>
  <c r="M159" i="11"/>
  <c r="M178" i="11"/>
  <c r="M152" i="11"/>
  <c r="M173" i="11"/>
  <c r="M168" i="11"/>
  <c r="M172" i="11"/>
  <c r="M165" i="11"/>
  <c r="M183" i="11"/>
  <c r="M166" i="11"/>
  <c r="M158" i="11"/>
  <c r="M150" i="11"/>
  <c r="M151" i="11"/>
  <c r="M176" i="11"/>
  <c r="D77" i="11"/>
  <c r="E77" i="11" s="1"/>
  <c r="G77" i="11" s="1"/>
  <c r="O77" i="11"/>
  <c r="O91" i="11"/>
  <c r="D91" i="11"/>
  <c r="E91" i="11" s="1"/>
  <c r="G91" i="11" s="1"/>
  <c r="O82" i="11"/>
  <c r="D82" i="11"/>
  <c r="E82" i="11" s="1"/>
  <c r="G82" i="11" s="1"/>
  <c r="O103" i="11"/>
  <c r="D103" i="11"/>
  <c r="E103" i="11" s="1"/>
  <c r="G103" i="11" s="1"/>
  <c r="O80" i="11"/>
  <c r="D80" i="11"/>
  <c r="E80" i="11" s="1"/>
  <c r="G80" i="11" s="1"/>
  <c r="O96" i="11"/>
  <c r="D96" i="11"/>
  <c r="E96" i="11" s="1"/>
  <c r="G96" i="11" s="1"/>
  <c r="D81" i="11"/>
  <c r="E81" i="11" s="1"/>
  <c r="G81" i="11" s="1"/>
  <c r="O81" i="11"/>
  <c r="O78" i="11"/>
  <c r="D78" i="11"/>
  <c r="F144" i="11" s="1"/>
  <c r="H144" i="11" s="1"/>
  <c r="O95" i="11"/>
  <c r="D95" i="11"/>
  <c r="E95" i="11" s="1"/>
  <c r="G95" i="11" s="1"/>
  <c r="O87" i="11"/>
  <c r="D87" i="11"/>
  <c r="E87" i="11" s="1"/>
  <c r="G87" i="11" s="1"/>
  <c r="O122" i="11"/>
  <c r="D122" i="11"/>
  <c r="E122" i="11" s="1"/>
  <c r="G122" i="11" s="1"/>
  <c r="O120" i="11"/>
  <c r="D120" i="11"/>
  <c r="E120" i="11" s="1"/>
  <c r="G120" i="11" s="1"/>
  <c r="O89" i="11"/>
  <c r="D89" i="11"/>
  <c r="E89" i="11" s="1"/>
  <c r="G89" i="11" s="1"/>
  <c r="O116" i="11"/>
  <c r="D116" i="11"/>
  <c r="F182" i="11" s="1"/>
  <c r="H182" i="11" s="1"/>
  <c r="O94" i="11"/>
  <c r="D94" i="11"/>
  <c r="E94" i="11" s="1"/>
  <c r="G94" i="11" s="1"/>
  <c r="O113" i="11"/>
  <c r="D113" i="11"/>
  <c r="F179" i="11" s="1"/>
  <c r="H179" i="11" s="1"/>
  <c r="O90" i="11"/>
  <c r="D90" i="11"/>
  <c r="E90" i="11" s="1"/>
  <c r="G90" i="11" s="1"/>
  <c r="D88" i="11"/>
  <c r="E88" i="11" s="1"/>
  <c r="G88" i="11" s="1"/>
  <c r="O88" i="11"/>
  <c r="O104" i="11"/>
  <c r="D104" i="11"/>
  <c r="E104" i="11" s="1"/>
  <c r="G104" i="11" s="1"/>
  <c r="O102" i="11"/>
  <c r="D102" i="11"/>
  <c r="E102" i="11" s="1"/>
  <c r="G102" i="11" s="1"/>
  <c r="O111" i="11"/>
  <c r="D111" i="11"/>
  <c r="E111" i="11" s="1"/>
  <c r="G111" i="11" s="1"/>
  <c r="O75" i="11"/>
  <c r="D75" i="11"/>
  <c r="K141" i="11" s="1"/>
  <c r="D98" i="11"/>
  <c r="F164" i="11" s="1"/>
  <c r="H164" i="11" s="1"/>
  <c r="O98" i="11"/>
  <c r="D118" i="11"/>
  <c r="E118" i="11" s="1"/>
  <c r="G118" i="11" s="1"/>
  <c r="O118" i="11"/>
  <c r="O109" i="11"/>
  <c r="D109" i="11"/>
  <c r="E109" i="11" s="1"/>
  <c r="G109" i="11" s="1"/>
  <c r="O114" i="11"/>
  <c r="D114" i="11"/>
  <c r="E114" i="11" s="1"/>
  <c r="G114" i="11" s="1"/>
  <c r="O76" i="11"/>
  <c r="D76" i="11"/>
  <c r="E76" i="11" s="1"/>
  <c r="G76" i="11" s="1"/>
  <c r="O108" i="11"/>
  <c r="D108" i="11"/>
  <c r="F174" i="11" s="1"/>
  <c r="H174" i="11" s="1"/>
  <c r="I67" i="11"/>
  <c r="I68" i="11" s="1"/>
  <c r="O74" i="11"/>
  <c r="D74" i="11"/>
  <c r="K140" i="11" s="1"/>
  <c r="O101" i="11"/>
  <c r="D101" i="11"/>
  <c r="E101" i="11" s="1"/>
  <c r="G101" i="11" s="1"/>
  <c r="O83" i="11"/>
  <c r="D83" i="11"/>
  <c r="F149" i="11" s="1"/>
  <c r="H149" i="11" s="1"/>
  <c r="D119" i="11"/>
  <c r="E119" i="11" s="1"/>
  <c r="G119" i="11" s="1"/>
  <c r="O119" i="11"/>
  <c r="O93" i="11"/>
  <c r="D93" i="11"/>
  <c r="E93" i="11" s="1"/>
  <c r="G93" i="11" s="1"/>
  <c r="O112" i="11"/>
  <c r="D112" i="11"/>
  <c r="F178" i="11" s="1"/>
  <c r="H178" i="11" s="1"/>
  <c r="O86" i="11"/>
  <c r="D86" i="11"/>
  <c r="E86" i="11" s="1"/>
  <c r="G86" i="11" s="1"/>
  <c r="O107" i="11"/>
  <c r="D107" i="11"/>
  <c r="E107" i="11" s="1"/>
  <c r="G107" i="11" s="1"/>
  <c r="O106" i="11"/>
  <c r="D106" i="11"/>
  <c r="E106" i="11" s="1"/>
  <c r="G106" i="11" s="1"/>
  <c r="O79" i="11"/>
  <c r="D79" i="11"/>
  <c r="F145" i="11" s="1"/>
  <c r="H145" i="11" s="1"/>
  <c r="D99" i="11"/>
  <c r="E99" i="11" s="1"/>
  <c r="G99" i="11" s="1"/>
  <c r="O99" i="11"/>
  <c r="O115" i="11"/>
  <c r="D115" i="11"/>
  <c r="F181" i="11" s="1"/>
  <c r="H181" i="11" s="1"/>
  <c r="O117" i="11"/>
  <c r="D117" i="11"/>
  <c r="E117" i="11" s="1"/>
  <c r="G117" i="11" s="1"/>
  <c r="O100" i="11"/>
  <c r="D100" i="11"/>
  <c r="E100" i="11" s="1"/>
  <c r="G100" i="11" s="1"/>
  <c r="O92" i="11"/>
  <c r="D92" i="11"/>
  <c r="E92" i="11" s="1"/>
  <c r="G92" i="11" s="1"/>
  <c r="O84" i="11"/>
  <c r="D84" i="11"/>
  <c r="F150" i="11" s="1"/>
  <c r="H150" i="11" s="1"/>
  <c r="O85" i="11"/>
  <c r="D85" i="11"/>
  <c r="E85" i="11" s="1"/>
  <c r="G85" i="11" s="1"/>
  <c r="O110" i="11"/>
  <c r="D110" i="11"/>
  <c r="E110" i="11" s="1"/>
  <c r="G110" i="11" s="1"/>
  <c r="E25" i="23"/>
  <c r="G37" i="11"/>
  <c r="H37" i="11" s="1"/>
  <c r="J37" i="11" s="1"/>
  <c r="E39" i="23"/>
  <c r="E28" i="23"/>
  <c r="G43" i="11"/>
  <c r="H43" i="11" s="1"/>
  <c r="J43" i="11" s="1"/>
  <c r="E45" i="23"/>
  <c r="E38" i="23"/>
  <c r="E55" i="23"/>
  <c r="E29" i="23"/>
  <c r="E30" i="23"/>
  <c r="E49" i="23"/>
  <c r="E23" i="23"/>
  <c r="G44" i="11"/>
  <c r="H44" i="11" s="1"/>
  <c r="J44" i="11" s="1"/>
  <c r="E46" i="23"/>
  <c r="E32" i="23"/>
  <c r="E37" i="23"/>
  <c r="E41" i="23"/>
  <c r="E35" i="23"/>
  <c r="E24" i="23"/>
  <c r="E43" i="23"/>
  <c r="E11" i="23"/>
  <c r="G9" i="11"/>
  <c r="H9" i="11" s="1"/>
  <c r="J9" i="11" s="1"/>
  <c r="G55" i="11"/>
  <c r="H55" i="11" s="1"/>
  <c r="J55" i="11" s="1"/>
  <c r="E57" i="23"/>
  <c r="E13" i="23"/>
  <c r="E12" i="23"/>
  <c r="E14" i="23"/>
  <c r="E16" i="23"/>
  <c r="E36" i="23"/>
  <c r="G50" i="11"/>
  <c r="H50" i="11" s="1"/>
  <c r="J50" i="11" s="1"/>
  <c r="E52" i="23"/>
  <c r="E19" i="23"/>
  <c r="G19" i="11"/>
  <c r="H19" i="11" s="1"/>
  <c r="J19" i="11" s="1"/>
  <c r="E21" i="23"/>
  <c r="E22" i="23"/>
  <c r="G45" i="11"/>
  <c r="H45" i="11" s="1"/>
  <c r="J45" i="11" s="1"/>
  <c r="E47" i="23"/>
  <c r="G48" i="11"/>
  <c r="H48" i="11" s="1"/>
  <c r="J48" i="11" s="1"/>
  <c r="E50" i="23"/>
  <c r="G42" i="11"/>
  <c r="H42" i="11" s="1"/>
  <c r="J42" i="11" s="1"/>
  <c r="E44" i="23"/>
  <c r="G51" i="11"/>
  <c r="H51" i="11" s="1"/>
  <c r="J51" i="11" s="1"/>
  <c r="E53" i="23"/>
  <c r="E54" i="23"/>
  <c r="E20" i="23"/>
  <c r="E59" i="23"/>
  <c r="E31" i="23"/>
  <c r="E26" i="23"/>
  <c r="G46" i="11"/>
  <c r="H46" i="11" s="1"/>
  <c r="J46" i="11" s="1"/>
  <c r="E48" i="23"/>
  <c r="H139" i="11"/>
  <c r="E17" i="23"/>
  <c r="E15" i="23"/>
  <c r="G38" i="11"/>
  <c r="H38" i="11" s="1"/>
  <c r="J38" i="11" s="1"/>
  <c r="E40" i="23"/>
  <c r="E18" i="23"/>
  <c r="E33" i="23"/>
  <c r="G54" i="11"/>
  <c r="H54" i="11" s="1"/>
  <c r="J54" i="11" s="1"/>
  <c r="E56" i="23"/>
  <c r="E27" i="23"/>
  <c r="G49" i="11"/>
  <c r="H49" i="11" s="1"/>
  <c r="J49" i="11" s="1"/>
  <c r="E51" i="23"/>
  <c r="E10" i="23"/>
  <c r="K85" i="23" s="1"/>
  <c r="J8" i="11"/>
  <c r="G33" i="11"/>
  <c r="H33" i="11" s="1"/>
  <c r="J33" i="11" s="1"/>
  <c r="G27" i="11"/>
  <c r="H27" i="11" s="1"/>
  <c r="J27" i="11" s="1"/>
  <c r="G28" i="11"/>
  <c r="H28" i="11" s="1"/>
  <c r="J28" i="11" s="1"/>
  <c r="G25" i="11"/>
  <c r="H25" i="11" s="1"/>
  <c r="J25" i="11" s="1"/>
  <c r="G13" i="11"/>
  <c r="H13" i="11" s="1"/>
  <c r="J13" i="11" s="1"/>
  <c r="G12" i="11"/>
  <c r="H12" i="11" s="1"/>
  <c r="J12" i="11" s="1"/>
  <c r="G14" i="11"/>
  <c r="H14" i="11" s="1"/>
  <c r="J14" i="11" s="1"/>
  <c r="G36" i="11"/>
  <c r="H36" i="11" s="1"/>
  <c r="J36" i="11" s="1"/>
  <c r="G26" i="11"/>
  <c r="H26" i="11" s="1"/>
  <c r="J26" i="11" s="1"/>
  <c r="G23" i="11"/>
  <c r="H23" i="11" s="1"/>
  <c r="J23" i="11" s="1"/>
  <c r="G21" i="11"/>
  <c r="H21" i="11" s="1"/>
  <c r="J21" i="11" s="1"/>
  <c r="G29" i="11"/>
  <c r="H29" i="11" s="1"/>
  <c r="J29" i="11" s="1"/>
  <c r="G20" i="11"/>
  <c r="H20" i="11" s="1"/>
  <c r="J20" i="11" s="1"/>
  <c r="G11" i="11"/>
  <c r="H11" i="11" s="1"/>
  <c r="J11" i="11" s="1"/>
  <c r="G15" i="11"/>
  <c r="H15" i="11" s="1"/>
  <c r="J15" i="11" s="1"/>
  <c r="G39" i="11"/>
  <c r="H39" i="11" s="1"/>
  <c r="J39" i="11" s="1"/>
  <c r="G22" i="11"/>
  <c r="H22" i="11" s="1"/>
  <c r="J22" i="11" s="1"/>
  <c r="G35" i="11"/>
  <c r="H35" i="11" s="1"/>
  <c r="J35" i="11" s="1"/>
  <c r="G41" i="11"/>
  <c r="H41" i="11" s="1"/>
  <c r="J41" i="11" s="1"/>
  <c r="G47" i="11"/>
  <c r="H47" i="11" s="1"/>
  <c r="J47" i="11" s="1"/>
  <c r="G34" i="11"/>
  <c r="H34" i="11" s="1"/>
  <c r="J34" i="11" s="1"/>
  <c r="G17" i="11"/>
  <c r="H17" i="11" s="1"/>
  <c r="J17" i="11" s="1"/>
  <c r="G24" i="11"/>
  <c r="H24" i="11" s="1"/>
  <c r="J24" i="11" s="1"/>
  <c r="G57" i="11"/>
  <c r="H57" i="11" s="1"/>
  <c r="J57" i="11" s="1"/>
  <c r="F163" i="11"/>
  <c r="H163" i="11" s="1"/>
  <c r="G52" i="11"/>
  <c r="H52" i="11" s="1"/>
  <c r="J52" i="11" s="1"/>
  <c r="G30" i="11"/>
  <c r="H30" i="11" s="1"/>
  <c r="J30" i="11" s="1"/>
  <c r="G32" i="11"/>
  <c r="H32" i="11" s="1"/>
  <c r="J32" i="11" s="1"/>
  <c r="G31" i="11"/>
  <c r="H31" i="11" s="1"/>
  <c r="J31" i="11" s="1"/>
  <c r="F151" i="11"/>
  <c r="H151" i="11" s="1"/>
  <c r="G16" i="11"/>
  <c r="H16" i="11" s="1"/>
  <c r="J16" i="11" s="1"/>
  <c r="G53" i="11"/>
  <c r="H53" i="11" s="1"/>
  <c r="J53" i="11" s="1"/>
  <c r="G18" i="11"/>
  <c r="H18" i="11" s="1"/>
  <c r="J18" i="11" s="1"/>
  <c r="G10" i="11"/>
  <c r="E74" i="11" l="1"/>
  <c r="G74" i="11" s="1"/>
  <c r="L9" i="11" s="1"/>
  <c r="D178" i="23"/>
  <c r="L32" i="11"/>
  <c r="D191" i="23"/>
  <c r="L45" i="11"/>
  <c r="D174" i="23"/>
  <c r="L28" i="11"/>
  <c r="L27" i="11"/>
  <c r="D173" i="23"/>
  <c r="D197" i="23"/>
  <c r="L37" i="11"/>
  <c r="D183" i="23"/>
  <c r="L52" i="11"/>
  <c r="D198" i="23"/>
  <c r="L35" i="11"/>
  <c r="D181" i="23"/>
  <c r="D169" i="23"/>
  <c r="L23" i="11"/>
  <c r="D200" i="23"/>
  <c r="L54" i="11"/>
  <c r="D164" i="23"/>
  <c r="L22" i="11"/>
  <c r="D168" i="23"/>
  <c r="L26" i="11"/>
  <c r="D172" i="23"/>
  <c r="D179" i="23"/>
  <c r="D192" i="23"/>
  <c r="L46" i="11"/>
  <c r="D165" i="23"/>
  <c r="L25" i="11"/>
  <c r="D171" i="23"/>
  <c r="D199" i="23"/>
  <c r="L53" i="11"/>
  <c r="D185" i="23"/>
  <c r="L39" i="11"/>
  <c r="D182" i="23"/>
  <c r="L36" i="11"/>
  <c r="D193" i="23"/>
  <c r="L57" i="11"/>
  <c r="D203" i="23"/>
  <c r="L8" i="11"/>
  <c r="D154" i="23"/>
  <c r="L42" i="11"/>
  <c r="D188" i="23"/>
  <c r="D162" i="23"/>
  <c r="L16" i="11"/>
  <c r="D170" i="23"/>
  <c r="L24" i="11"/>
  <c r="D161" i="23"/>
  <c r="L15" i="11"/>
  <c r="D160" i="23"/>
  <c r="D201" i="23"/>
  <c r="L55" i="11"/>
  <c r="L29" i="11"/>
  <c r="D175" i="23"/>
  <c r="L30" i="11"/>
  <c r="D176" i="23"/>
  <c r="L41" i="11"/>
  <c r="D187" i="23"/>
  <c r="L17" i="11"/>
  <c r="D163" i="23"/>
  <c r="L21" i="11"/>
  <c r="D167" i="23"/>
  <c r="L11" i="11"/>
  <c r="D157" i="23"/>
  <c r="L12" i="11"/>
  <c r="D158" i="23"/>
  <c r="L38" i="11"/>
  <c r="D184" i="23"/>
  <c r="D194" i="23"/>
  <c r="D196" i="23"/>
  <c r="D155" i="23"/>
  <c r="D177" i="23"/>
  <c r="L31" i="11"/>
  <c r="D180" i="23"/>
  <c r="L34" i="11"/>
  <c r="L20" i="11"/>
  <c r="D166" i="23"/>
  <c r="D159" i="23"/>
  <c r="L49" i="11"/>
  <c r="D195" i="23"/>
  <c r="L44" i="11"/>
  <c r="D190" i="23"/>
  <c r="D189" i="23"/>
  <c r="K160" i="11"/>
  <c r="F185" i="11"/>
  <c r="H185" i="11" s="1"/>
  <c r="I185" i="11" s="1"/>
  <c r="F158" i="11"/>
  <c r="H158" i="11" s="1"/>
  <c r="I158" i="11" s="1"/>
  <c r="E84" i="11"/>
  <c r="G84" i="11" s="1"/>
  <c r="L19" i="11" s="1"/>
  <c r="E75" i="11"/>
  <c r="G75" i="11" s="1"/>
  <c r="K179" i="11"/>
  <c r="K181" i="11"/>
  <c r="K166" i="11"/>
  <c r="K183" i="11"/>
  <c r="F159" i="11"/>
  <c r="H159" i="11" s="1"/>
  <c r="I159" i="11" s="1"/>
  <c r="K142" i="11"/>
  <c r="K147" i="11"/>
  <c r="K146" i="11"/>
  <c r="E79" i="11"/>
  <c r="G79" i="11" s="1"/>
  <c r="I145" i="11" s="1"/>
  <c r="K151" i="11"/>
  <c r="K170" i="11"/>
  <c r="K186" i="11"/>
  <c r="K173" i="11"/>
  <c r="F153" i="11"/>
  <c r="H153" i="11" s="1"/>
  <c r="I153" i="11" s="1"/>
  <c r="K177" i="11"/>
  <c r="K143" i="11"/>
  <c r="K169" i="11"/>
  <c r="K155" i="11"/>
  <c r="K150" i="11"/>
  <c r="K172" i="11"/>
  <c r="K152" i="11"/>
  <c r="K159" i="11"/>
  <c r="K149" i="11"/>
  <c r="K184" i="11"/>
  <c r="K182" i="11"/>
  <c r="K162" i="11"/>
  <c r="K154" i="11"/>
  <c r="K176" i="11"/>
  <c r="K168" i="11"/>
  <c r="K180" i="11"/>
  <c r="K153" i="11"/>
  <c r="K157" i="11"/>
  <c r="K144" i="11"/>
  <c r="K178" i="11"/>
  <c r="K174" i="11"/>
  <c r="K167" i="11"/>
  <c r="K156" i="11"/>
  <c r="F161" i="11"/>
  <c r="H161" i="11" s="1"/>
  <c r="I161" i="11" s="1"/>
  <c r="F152" i="11"/>
  <c r="H152" i="11" s="1"/>
  <c r="I152" i="11" s="1"/>
  <c r="K158" i="11"/>
  <c r="K165" i="11"/>
  <c r="K185" i="11"/>
  <c r="K175" i="11"/>
  <c r="K164" i="11"/>
  <c r="K161" i="11"/>
  <c r="K145" i="11"/>
  <c r="K188" i="11"/>
  <c r="K148" i="11"/>
  <c r="F147" i="11"/>
  <c r="H147" i="11" s="1"/>
  <c r="I147" i="11" s="1"/>
  <c r="E98" i="11"/>
  <c r="G98" i="11" s="1"/>
  <c r="L33" i="11" s="1"/>
  <c r="F146" i="11"/>
  <c r="H146" i="11" s="1"/>
  <c r="F172" i="11"/>
  <c r="H172" i="11" s="1"/>
  <c r="I172" i="11" s="1"/>
  <c r="F160" i="11"/>
  <c r="H160" i="11" s="1"/>
  <c r="I160" i="11" s="1"/>
  <c r="F162" i="11"/>
  <c r="H162" i="11" s="1"/>
  <c r="I162" i="11" s="1"/>
  <c r="F142" i="11"/>
  <c r="H142" i="11" s="1"/>
  <c r="I142" i="11" s="1"/>
  <c r="F168" i="11"/>
  <c r="H168" i="11" s="1"/>
  <c r="I168" i="11" s="1"/>
  <c r="F188" i="11"/>
  <c r="H188" i="11" s="1"/>
  <c r="I188" i="11" s="1"/>
  <c r="F167" i="11"/>
  <c r="H167" i="11" s="1"/>
  <c r="E115" i="11"/>
  <c r="G115" i="11" s="1"/>
  <c r="I181" i="11" s="1"/>
  <c r="E112" i="11"/>
  <c r="G112" i="11" s="1"/>
  <c r="I178" i="11" s="1"/>
  <c r="F175" i="11"/>
  <c r="H175" i="11" s="1"/>
  <c r="I175" i="11" s="1"/>
  <c r="F148" i="11"/>
  <c r="H148" i="11" s="1"/>
  <c r="I148" i="11" s="1"/>
  <c r="G25" i="23"/>
  <c r="F155" i="11"/>
  <c r="H155" i="11" s="1"/>
  <c r="I155" i="11" s="1"/>
  <c r="F173" i="11"/>
  <c r="H173" i="11" s="1"/>
  <c r="I173" i="11" s="1"/>
  <c r="E108" i="11"/>
  <c r="G108" i="11" s="1"/>
  <c r="I174" i="11" s="1"/>
  <c r="E113" i="11"/>
  <c r="G113" i="11" s="1"/>
  <c r="I179" i="11" s="1"/>
  <c r="E78" i="11"/>
  <c r="G78" i="11" s="1"/>
  <c r="I144" i="11" s="1"/>
  <c r="E116" i="11"/>
  <c r="G116" i="11" s="1"/>
  <c r="I182" i="11" s="1"/>
  <c r="E83" i="11"/>
  <c r="G83" i="11" s="1"/>
  <c r="I149" i="11" s="1"/>
  <c r="I74" i="11"/>
  <c r="I82" i="11"/>
  <c r="I90" i="11"/>
  <c r="I98" i="11"/>
  <c r="I110" i="11"/>
  <c r="I73" i="11"/>
  <c r="I81" i="11"/>
  <c r="I89" i="11"/>
  <c r="I97" i="11"/>
  <c r="I109" i="11"/>
  <c r="I117" i="11"/>
  <c r="I80" i="11"/>
  <c r="I88" i="11"/>
  <c r="I96" i="11"/>
  <c r="I104" i="11"/>
  <c r="I108" i="11"/>
  <c r="I116" i="11"/>
  <c r="I79" i="11"/>
  <c r="I87" i="11"/>
  <c r="I95" i="11"/>
  <c r="I103" i="11"/>
  <c r="I107" i="11"/>
  <c r="I115" i="11"/>
  <c r="I78" i="11"/>
  <c r="I86" i="11"/>
  <c r="I94" i="11"/>
  <c r="I102" i="11"/>
  <c r="I106" i="11"/>
  <c r="I114" i="11"/>
  <c r="I122" i="11"/>
  <c r="I76" i="11"/>
  <c r="I84" i="11"/>
  <c r="I92" i="11"/>
  <c r="I100" i="11"/>
  <c r="I112" i="11"/>
  <c r="I120" i="11"/>
  <c r="I75" i="11"/>
  <c r="I119" i="11"/>
  <c r="I121" i="11"/>
  <c r="I77" i="11"/>
  <c r="I118" i="11"/>
  <c r="I83" i="11"/>
  <c r="I111" i="11"/>
  <c r="I113" i="11"/>
  <c r="I91" i="11"/>
  <c r="I85" i="11"/>
  <c r="I93" i="11"/>
  <c r="I99" i="11"/>
  <c r="I101" i="11"/>
  <c r="F154" i="11"/>
  <c r="H154" i="11" s="1"/>
  <c r="I154" i="11" s="1"/>
  <c r="F169" i="11"/>
  <c r="H169" i="11" s="1"/>
  <c r="I169" i="11" s="1"/>
  <c r="F170" i="11"/>
  <c r="H170" i="11" s="1"/>
  <c r="I170" i="11" s="1"/>
  <c r="F183" i="11"/>
  <c r="H183" i="11" s="1"/>
  <c r="I183" i="11" s="1"/>
  <c r="F177" i="11"/>
  <c r="H177" i="11" s="1"/>
  <c r="F141" i="11"/>
  <c r="H141" i="11" s="1"/>
  <c r="F140" i="11"/>
  <c r="H140" i="11" s="1"/>
  <c r="F186" i="11"/>
  <c r="H186" i="11" s="1"/>
  <c r="I186" i="11" s="1"/>
  <c r="F143" i="11"/>
  <c r="H143" i="11" s="1"/>
  <c r="I143" i="11" s="1"/>
  <c r="F166" i="11"/>
  <c r="H166" i="11" s="1"/>
  <c r="I166" i="11" s="1"/>
  <c r="F165" i="11"/>
  <c r="H165" i="11" s="1"/>
  <c r="I165" i="11" s="1"/>
  <c r="F180" i="11"/>
  <c r="H180" i="11" s="1"/>
  <c r="I180" i="11" s="1"/>
  <c r="F184" i="11"/>
  <c r="H184" i="11" s="1"/>
  <c r="I184" i="11" s="1"/>
  <c r="F157" i="11"/>
  <c r="H157" i="11" s="1"/>
  <c r="I157" i="11" s="1"/>
  <c r="F156" i="11"/>
  <c r="H156" i="11" s="1"/>
  <c r="I156" i="11" s="1"/>
  <c r="F176" i="11"/>
  <c r="H176" i="11" s="1"/>
  <c r="I176" i="11" s="1"/>
  <c r="K92" i="23"/>
  <c r="D92" i="23"/>
  <c r="E92" i="23" s="1"/>
  <c r="G17" i="23"/>
  <c r="K120" i="23"/>
  <c r="D120" i="23"/>
  <c r="E120" i="23" s="1"/>
  <c r="G45" i="23"/>
  <c r="K131" i="23"/>
  <c r="D131" i="23"/>
  <c r="E131" i="23" s="1"/>
  <c r="G56" i="23"/>
  <c r="K115" i="23"/>
  <c r="D115" i="23"/>
  <c r="E115" i="23" s="1"/>
  <c r="G40" i="23"/>
  <c r="K134" i="23"/>
  <c r="D134" i="23"/>
  <c r="E134" i="23" s="1"/>
  <c r="G59" i="23"/>
  <c r="K96" i="23"/>
  <c r="D96" i="23"/>
  <c r="E96" i="23" s="1"/>
  <c r="G21" i="23"/>
  <c r="K91" i="23"/>
  <c r="D91" i="23"/>
  <c r="E91" i="23" s="1"/>
  <c r="G16" i="23"/>
  <c r="H10" i="11"/>
  <c r="J10" i="11" s="1"/>
  <c r="K93" i="23"/>
  <c r="D93" i="23"/>
  <c r="E93" i="23" s="1"/>
  <c r="G18" i="23"/>
  <c r="K123" i="23"/>
  <c r="D123" i="23"/>
  <c r="E123" i="23" s="1"/>
  <c r="G48" i="23"/>
  <c r="K128" i="23"/>
  <c r="D128" i="23"/>
  <c r="E128" i="23" s="1"/>
  <c r="G53" i="23"/>
  <c r="K89" i="23"/>
  <c r="D89" i="23"/>
  <c r="E89" i="23" s="1"/>
  <c r="G14" i="23"/>
  <c r="K99" i="23"/>
  <c r="D99" i="23"/>
  <c r="E99" i="23" s="1"/>
  <c r="G24" i="23"/>
  <c r="K98" i="23"/>
  <c r="D98" i="23"/>
  <c r="E98" i="23" s="1"/>
  <c r="G23" i="23"/>
  <c r="K124" i="23"/>
  <c r="D124" i="23"/>
  <c r="E124" i="23" s="1"/>
  <c r="G49" i="23"/>
  <c r="K95" i="23"/>
  <c r="D95" i="23"/>
  <c r="E95" i="23" s="1"/>
  <c r="G20" i="23"/>
  <c r="K87" i="23"/>
  <c r="D87" i="23"/>
  <c r="E87" i="23" s="1"/>
  <c r="G12" i="23"/>
  <c r="K103" i="23"/>
  <c r="D103" i="23"/>
  <c r="E103" i="23" s="1"/>
  <c r="G28" i="23"/>
  <c r="K90" i="23"/>
  <c r="D90" i="23"/>
  <c r="E90" i="23" s="1"/>
  <c r="G15" i="23"/>
  <c r="K119" i="23"/>
  <c r="D119" i="23"/>
  <c r="E119" i="23" s="1"/>
  <c r="G44" i="23"/>
  <c r="K125" i="23"/>
  <c r="D125" i="23"/>
  <c r="E125" i="23" s="1"/>
  <c r="G50" i="23"/>
  <c r="K86" i="23"/>
  <c r="D86" i="23"/>
  <c r="G11" i="23"/>
  <c r="K118" i="23"/>
  <c r="D118" i="23"/>
  <c r="E118" i="23" s="1"/>
  <c r="G43" i="23"/>
  <c r="K110" i="23"/>
  <c r="D110" i="23"/>
  <c r="E110" i="23" s="1"/>
  <c r="G35" i="23"/>
  <c r="I139" i="11"/>
  <c r="K106" i="23"/>
  <c r="D106" i="23"/>
  <c r="E106" i="23" s="1"/>
  <c r="G31" i="23"/>
  <c r="K132" i="23"/>
  <c r="D132" i="23"/>
  <c r="G57" i="23"/>
  <c r="K112" i="23"/>
  <c r="D112" i="23"/>
  <c r="E112" i="23" s="1"/>
  <c r="G37" i="23"/>
  <c r="K113" i="23"/>
  <c r="D113" i="23"/>
  <c r="E113" i="23" s="1"/>
  <c r="G38" i="23"/>
  <c r="K114" i="23"/>
  <c r="D114" i="23"/>
  <c r="E114" i="23" s="1"/>
  <c r="G39" i="23"/>
  <c r="K102" i="23"/>
  <c r="D102" i="23"/>
  <c r="E102" i="23" s="1"/>
  <c r="G27" i="23"/>
  <c r="K108" i="23"/>
  <c r="D108" i="23"/>
  <c r="E108" i="23" s="1"/>
  <c r="G33" i="23"/>
  <c r="K100" i="23"/>
  <c r="D100" i="23"/>
  <c r="E100" i="23" s="1"/>
  <c r="K129" i="23"/>
  <c r="D129" i="23"/>
  <c r="E129" i="23" s="1"/>
  <c r="G54" i="23"/>
  <c r="K122" i="23"/>
  <c r="D122" i="23"/>
  <c r="E122" i="23" s="1"/>
  <c r="G47" i="23"/>
  <c r="K116" i="23"/>
  <c r="D116" i="23"/>
  <c r="E116" i="23" s="1"/>
  <c r="G41" i="23"/>
  <c r="K121" i="23"/>
  <c r="D121" i="23"/>
  <c r="E121" i="23" s="1"/>
  <c r="G46" i="23"/>
  <c r="K126" i="23"/>
  <c r="D126" i="23"/>
  <c r="E126" i="23" s="1"/>
  <c r="G51" i="23"/>
  <c r="K97" i="23"/>
  <c r="D97" i="23"/>
  <c r="E97" i="23" s="1"/>
  <c r="G22" i="23"/>
  <c r="K127" i="23"/>
  <c r="D127" i="23"/>
  <c r="E127" i="23" s="1"/>
  <c r="G52" i="23"/>
  <c r="K105" i="23"/>
  <c r="G30" i="23"/>
  <c r="D105" i="23"/>
  <c r="E105" i="23" s="1"/>
  <c r="K104" i="23"/>
  <c r="D104" i="23"/>
  <c r="E104" i="23" s="1"/>
  <c r="G29" i="23"/>
  <c r="K101" i="23"/>
  <c r="D101" i="23"/>
  <c r="E101" i="23" s="1"/>
  <c r="G26" i="23"/>
  <c r="K111" i="23"/>
  <c r="D111" i="23"/>
  <c r="E111" i="23" s="1"/>
  <c r="G36" i="23"/>
  <c r="K94" i="23"/>
  <c r="D94" i="23"/>
  <c r="E94" i="23" s="1"/>
  <c r="G19" i="23"/>
  <c r="K88" i="23"/>
  <c r="D88" i="23"/>
  <c r="E88" i="23" s="1"/>
  <c r="G13" i="23"/>
  <c r="K107" i="23"/>
  <c r="D107" i="23"/>
  <c r="E107" i="23" s="1"/>
  <c r="G32" i="23"/>
  <c r="K130" i="23"/>
  <c r="D130" i="23"/>
  <c r="E130" i="23" s="1"/>
  <c r="G55" i="23"/>
  <c r="C75" i="23"/>
  <c r="C76" i="23" s="1"/>
  <c r="I133" i="23" s="1"/>
  <c r="J133" i="23" s="1"/>
  <c r="L133" i="23" s="1"/>
  <c r="G10" i="23"/>
  <c r="D85" i="23"/>
  <c r="E85" i="23" s="1"/>
  <c r="I151" i="11"/>
  <c r="I163" i="11"/>
  <c r="L50" i="11" l="1"/>
  <c r="I150" i="11"/>
  <c r="L14" i="11"/>
  <c r="L13" i="11"/>
  <c r="L18" i="11"/>
  <c r="L43" i="11"/>
  <c r="L10" i="11"/>
  <c r="D156" i="23"/>
  <c r="D211" i="23" s="1"/>
  <c r="L48" i="11"/>
  <c r="L47" i="11"/>
  <c r="L51" i="11"/>
  <c r="J83" i="11"/>
  <c r="L83" i="11" s="1"/>
  <c r="L149" i="11"/>
  <c r="N149" i="11" s="1"/>
  <c r="S149" i="11" s="1"/>
  <c r="J82" i="11"/>
  <c r="L82" i="11" s="1"/>
  <c r="L148" i="11"/>
  <c r="N148" i="11" s="1"/>
  <c r="J101" i="11"/>
  <c r="L101" i="11" s="1"/>
  <c r="L167" i="11"/>
  <c r="N167" i="11" s="1"/>
  <c r="S167" i="11" s="1"/>
  <c r="J118" i="11"/>
  <c r="L118" i="11" s="1"/>
  <c r="L184" i="11"/>
  <c r="N184" i="11" s="1"/>
  <c r="S184" i="11" s="1"/>
  <c r="J92" i="11"/>
  <c r="L92" i="11" s="1"/>
  <c r="L158" i="11"/>
  <c r="N158" i="11" s="1"/>
  <c r="S158" i="11" s="1"/>
  <c r="J86" i="11"/>
  <c r="L86" i="11" s="1"/>
  <c r="L152" i="11"/>
  <c r="N152" i="11" s="1"/>
  <c r="S152" i="11" s="1"/>
  <c r="J116" i="11"/>
  <c r="L116" i="11" s="1"/>
  <c r="L182" i="11"/>
  <c r="N182" i="11" s="1"/>
  <c r="S182" i="11" s="1"/>
  <c r="J97" i="11"/>
  <c r="L97" i="11" s="1"/>
  <c r="L163" i="11"/>
  <c r="N163" i="11" s="1"/>
  <c r="S163" i="11" s="1"/>
  <c r="J74" i="11"/>
  <c r="L74" i="11" s="1"/>
  <c r="L140" i="11"/>
  <c r="N140" i="11" s="1"/>
  <c r="J87" i="11"/>
  <c r="L87" i="11" s="1"/>
  <c r="L153" i="11"/>
  <c r="N153" i="11" s="1"/>
  <c r="J99" i="11"/>
  <c r="L99" i="11" s="1"/>
  <c r="L165" i="11"/>
  <c r="N165" i="11" s="1"/>
  <c r="J77" i="11"/>
  <c r="L77" i="11" s="1"/>
  <c r="L143" i="11"/>
  <c r="N143" i="11" s="1"/>
  <c r="J84" i="11"/>
  <c r="L84" i="11" s="1"/>
  <c r="L150" i="11"/>
  <c r="N150" i="11" s="1"/>
  <c r="J78" i="11"/>
  <c r="L78" i="11" s="1"/>
  <c r="L144" i="11"/>
  <c r="N144" i="11" s="1"/>
  <c r="J108" i="11"/>
  <c r="L108" i="11" s="1"/>
  <c r="L174" i="11"/>
  <c r="N174" i="11" s="1"/>
  <c r="J89" i="11"/>
  <c r="L89" i="11" s="1"/>
  <c r="L155" i="11"/>
  <c r="N155" i="11" s="1"/>
  <c r="J112" i="11"/>
  <c r="L112" i="11" s="1"/>
  <c r="L178" i="11"/>
  <c r="N178" i="11" s="1"/>
  <c r="J102" i="11"/>
  <c r="L102" i="11" s="1"/>
  <c r="L168" i="11"/>
  <c r="N168" i="11" s="1"/>
  <c r="J117" i="11"/>
  <c r="L117" i="11" s="1"/>
  <c r="L183" i="11"/>
  <c r="N183" i="11" s="1"/>
  <c r="S183" i="11" s="1"/>
  <c r="J100" i="11"/>
  <c r="L100" i="11" s="1"/>
  <c r="L166" i="11"/>
  <c r="N166" i="11" s="1"/>
  <c r="J109" i="11"/>
  <c r="L109" i="11" s="1"/>
  <c r="L175" i="11"/>
  <c r="N175" i="11" s="1"/>
  <c r="J93" i="11"/>
  <c r="L93" i="11" s="1"/>
  <c r="L159" i="11"/>
  <c r="N159" i="11" s="1"/>
  <c r="S159" i="11" s="1"/>
  <c r="J121" i="11"/>
  <c r="L121" i="11" s="1"/>
  <c r="L187" i="11"/>
  <c r="N187" i="11" s="1"/>
  <c r="S187" i="11" s="1"/>
  <c r="J76" i="11"/>
  <c r="L76" i="11" s="1"/>
  <c r="L142" i="11"/>
  <c r="N142" i="11" s="1"/>
  <c r="S142" i="11" s="1"/>
  <c r="J115" i="11"/>
  <c r="L115" i="11" s="1"/>
  <c r="L181" i="11"/>
  <c r="N181" i="11" s="1"/>
  <c r="S181" i="11" s="1"/>
  <c r="J104" i="11"/>
  <c r="L170" i="11"/>
  <c r="N170" i="11" s="1"/>
  <c r="S170" i="11" s="1"/>
  <c r="J81" i="11"/>
  <c r="L81" i="11" s="1"/>
  <c r="L147" i="11"/>
  <c r="N147" i="11" s="1"/>
  <c r="S147" i="11" s="1"/>
  <c r="J85" i="11"/>
  <c r="L85" i="11" s="1"/>
  <c r="L151" i="11"/>
  <c r="N151" i="11" s="1"/>
  <c r="S151" i="11" s="1"/>
  <c r="J119" i="11"/>
  <c r="L119" i="11" s="1"/>
  <c r="L185" i="11"/>
  <c r="N185" i="11" s="1"/>
  <c r="S185" i="11" s="1"/>
  <c r="J122" i="11"/>
  <c r="L122" i="11" s="1"/>
  <c r="L188" i="11"/>
  <c r="N188" i="11" s="1"/>
  <c r="J107" i="11"/>
  <c r="L107" i="11" s="1"/>
  <c r="L173" i="11"/>
  <c r="N173" i="11" s="1"/>
  <c r="J96" i="11"/>
  <c r="L96" i="11" s="1"/>
  <c r="L162" i="11"/>
  <c r="N162" i="11" s="1"/>
  <c r="L139" i="11"/>
  <c r="N139" i="11" s="1"/>
  <c r="J73" i="11"/>
  <c r="P73" i="11" s="1"/>
  <c r="J111" i="11"/>
  <c r="L111" i="11" s="1"/>
  <c r="L177" i="11"/>
  <c r="N177" i="11" s="1"/>
  <c r="J90" i="11"/>
  <c r="L90" i="11" s="1"/>
  <c r="L156" i="11"/>
  <c r="N156" i="11" s="1"/>
  <c r="J94" i="11"/>
  <c r="L94" i="11" s="1"/>
  <c r="L160" i="11"/>
  <c r="N160" i="11" s="1"/>
  <c r="S160" i="11" s="1"/>
  <c r="J91" i="11"/>
  <c r="L91" i="11" s="1"/>
  <c r="L157" i="11"/>
  <c r="N157" i="11" s="1"/>
  <c r="S157" i="11" s="1"/>
  <c r="J75" i="11"/>
  <c r="L75" i="11" s="1"/>
  <c r="L141" i="11"/>
  <c r="N141" i="11" s="1"/>
  <c r="S141" i="11" s="1"/>
  <c r="J114" i="11"/>
  <c r="L114" i="11" s="1"/>
  <c r="L180" i="11"/>
  <c r="N180" i="11" s="1"/>
  <c r="S180" i="11" s="1"/>
  <c r="J103" i="11"/>
  <c r="L103" i="11" s="1"/>
  <c r="L169" i="11"/>
  <c r="N169" i="11" s="1"/>
  <c r="S169" i="11" s="1"/>
  <c r="J88" i="11"/>
  <c r="L88" i="11" s="1"/>
  <c r="L154" i="11"/>
  <c r="N154" i="11" s="1"/>
  <c r="S154" i="11" s="1"/>
  <c r="J110" i="11"/>
  <c r="L110" i="11" s="1"/>
  <c r="L176" i="11"/>
  <c r="N176" i="11" s="1"/>
  <c r="S176" i="11" s="1"/>
  <c r="J79" i="11"/>
  <c r="L79" i="11" s="1"/>
  <c r="L145" i="11"/>
  <c r="N145" i="11" s="1"/>
  <c r="S145" i="11" s="1"/>
  <c r="J113" i="11"/>
  <c r="L113" i="11" s="1"/>
  <c r="L179" i="11"/>
  <c r="N179" i="11" s="1"/>
  <c r="J120" i="11"/>
  <c r="L120" i="11" s="1"/>
  <c r="L186" i="11"/>
  <c r="N186" i="11" s="1"/>
  <c r="J106" i="11"/>
  <c r="L106" i="11" s="1"/>
  <c r="L172" i="11"/>
  <c r="N172" i="11" s="1"/>
  <c r="J95" i="11"/>
  <c r="L95" i="11" s="1"/>
  <c r="L161" i="11"/>
  <c r="N161" i="11" s="1"/>
  <c r="S161" i="11" s="1"/>
  <c r="J80" i="11"/>
  <c r="L80" i="11" s="1"/>
  <c r="L146" i="11"/>
  <c r="N146" i="11" s="1"/>
  <c r="J98" i="11"/>
  <c r="L98" i="11" s="1"/>
  <c r="L164" i="11"/>
  <c r="N164" i="11" s="1"/>
  <c r="P122" i="11"/>
  <c r="I140" i="11"/>
  <c r="S178" i="11"/>
  <c r="P92" i="11"/>
  <c r="P115" i="11"/>
  <c r="P74" i="11"/>
  <c r="I141" i="11"/>
  <c r="I177" i="11"/>
  <c r="E132" i="23"/>
  <c r="E86" i="23"/>
  <c r="I85" i="23"/>
  <c r="J85" i="23" s="1"/>
  <c r="L85" i="23" s="1"/>
  <c r="I134" i="23"/>
  <c r="J134" i="23" s="1"/>
  <c r="L134" i="23" s="1"/>
  <c r="I132" i="23"/>
  <c r="J132" i="23" s="1"/>
  <c r="I131" i="23"/>
  <c r="J131" i="23" s="1"/>
  <c r="L131" i="23" s="1"/>
  <c r="I130" i="23"/>
  <c r="J130" i="23" s="1"/>
  <c r="L130" i="23" s="1"/>
  <c r="I129" i="23"/>
  <c r="J129" i="23" s="1"/>
  <c r="I128" i="23"/>
  <c r="J128" i="23" s="1"/>
  <c r="L128" i="23" s="1"/>
  <c r="I127" i="23"/>
  <c r="J127" i="23" s="1"/>
  <c r="I126" i="23"/>
  <c r="J126" i="23" s="1"/>
  <c r="I125" i="23"/>
  <c r="J125" i="23" s="1"/>
  <c r="L125" i="23" s="1"/>
  <c r="I124" i="23"/>
  <c r="J124" i="23" s="1"/>
  <c r="L124" i="23" s="1"/>
  <c r="I123" i="23"/>
  <c r="J123" i="23" s="1"/>
  <c r="I122" i="23"/>
  <c r="J122" i="23" s="1"/>
  <c r="I121" i="23"/>
  <c r="J121" i="23" s="1"/>
  <c r="I120" i="23"/>
  <c r="J120" i="23" s="1"/>
  <c r="I119" i="23"/>
  <c r="J119" i="23" s="1"/>
  <c r="L119" i="23" s="1"/>
  <c r="I118" i="23"/>
  <c r="J118" i="23" s="1"/>
  <c r="I116" i="23"/>
  <c r="J116" i="23" s="1"/>
  <c r="L116" i="23" s="1"/>
  <c r="I115" i="23"/>
  <c r="J115" i="23" s="1"/>
  <c r="L115" i="23" s="1"/>
  <c r="I114" i="23"/>
  <c r="J114" i="23" s="1"/>
  <c r="L114" i="23" s="1"/>
  <c r="I113" i="23"/>
  <c r="J113" i="23" s="1"/>
  <c r="L113" i="23" s="1"/>
  <c r="I112" i="23"/>
  <c r="J112" i="23" s="1"/>
  <c r="I111" i="23"/>
  <c r="J111" i="23" s="1"/>
  <c r="L111" i="23" s="1"/>
  <c r="I110" i="23"/>
  <c r="J110" i="23" s="1"/>
  <c r="I109" i="23"/>
  <c r="J109" i="23" s="1"/>
  <c r="I108" i="23"/>
  <c r="J108" i="23" s="1"/>
  <c r="L108" i="23" s="1"/>
  <c r="I107" i="23"/>
  <c r="J107" i="23" s="1"/>
  <c r="L107" i="23" s="1"/>
  <c r="I106" i="23"/>
  <c r="J106" i="23" s="1"/>
  <c r="L106" i="23" s="1"/>
  <c r="I105" i="23"/>
  <c r="J105" i="23" s="1"/>
  <c r="I104" i="23"/>
  <c r="J104" i="23" s="1"/>
  <c r="I103" i="23"/>
  <c r="J103" i="23" s="1"/>
  <c r="L103" i="23" s="1"/>
  <c r="I102" i="23"/>
  <c r="J102" i="23" s="1"/>
  <c r="L102" i="23" s="1"/>
  <c r="I101" i="23"/>
  <c r="J101" i="23" s="1"/>
  <c r="I100" i="23"/>
  <c r="J100" i="23" s="1"/>
  <c r="L100" i="23" s="1"/>
  <c r="I99" i="23"/>
  <c r="J99" i="23" s="1"/>
  <c r="I98" i="23"/>
  <c r="J98" i="23" s="1"/>
  <c r="L98" i="23" s="1"/>
  <c r="I97" i="23"/>
  <c r="J97" i="23" s="1"/>
  <c r="L97" i="23" s="1"/>
  <c r="I96" i="23"/>
  <c r="J96" i="23" s="1"/>
  <c r="I95" i="23"/>
  <c r="J95" i="23" s="1"/>
  <c r="I94" i="23"/>
  <c r="J94" i="23" s="1"/>
  <c r="I93" i="23"/>
  <c r="J93" i="23" s="1"/>
  <c r="I92" i="23"/>
  <c r="J92" i="23" s="1"/>
  <c r="L92" i="23" s="1"/>
  <c r="I91" i="23"/>
  <c r="J91" i="23" s="1"/>
  <c r="I90" i="23"/>
  <c r="J90" i="23" s="1"/>
  <c r="L90" i="23" s="1"/>
  <c r="I89" i="23"/>
  <c r="J89" i="23" s="1"/>
  <c r="I88" i="23"/>
  <c r="J88" i="23" s="1"/>
  <c r="L88" i="23" s="1"/>
  <c r="I87" i="23"/>
  <c r="J87" i="23" s="1"/>
  <c r="I86" i="23"/>
  <c r="J86" i="23" s="1"/>
  <c r="I167" i="11"/>
  <c r="I164" i="11"/>
  <c r="I146" i="11"/>
  <c r="P119" i="11" l="1"/>
  <c r="L73" i="11"/>
  <c r="P112" i="11"/>
  <c r="P87" i="11"/>
  <c r="P98" i="11"/>
  <c r="S140" i="11"/>
  <c r="P88" i="11"/>
  <c r="P109" i="11"/>
  <c r="S175" i="11" s="1"/>
  <c r="P84" i="11"/>
  <c r="S150" i="11" s="1"/>
  <c r="P93" i="11"/>
  <c r="P91" i="11"/>
  <c r="P78" i="11"/>
  <c r="P120" i="11"/>
  <c r="P83" i="11"/>
  <c r="P102" i="11"/>
  <c r="P81" i="11"/>
  <c r="P86" i="11"/>
  <c r="P106" i="11"/>
  <c r="P101" i="11"/>
  <c r="P77" i="11"/>
  <c r="P97" i="11"/>
  <c r="L132" i="23"/>
  <c r="P121" i="11"/>
  <c r="P107" i="11"/>
  <c r="P118" i="11"/>
  <c r="P89" i="11"/>
  <c r="S186" i="11"/>
  <c r="P79" i="11"/>
  <c r="S164" i="11"/>
  <c r="P113" i="11"/>
  <c r="P103" i="11"/>
  <c r="S155" i="11"/>
  <c r="S188" i="11"/>
  <c r="P111" i="11"/>
  <c r="P75" i="11"/>
  <c r="P82" i="11"/>
  <c r="S148" i="11" s="1"/>
  <c r="P76" i="11"/>
  <c r="P100" i="11"/>
  <c r="P96" i="11"/>
  <c r="P85" i="11"/>
  <c r="P80" i="11"/>
  <c r="S173" i="11"/>
  <c r="S179" i="11"/>
  <c r="P114" i="11"/>
  <c r="S143" i="11"/>
  <c r="P99" i="11"/>
  <c r="P90" i="11"/>
  <c r="P108" i="11"/>
  <c r="S162" i="11"/>
  <c r="P116" i="11"/>
  <c r="L104" i="11"/>
  <c r="P104" i="11"/>
  <c r="S166" i="11"/>
  <c r="P117" i="11"/>
  <c r="P94" i="11"/>
  <c r="P110" i="11"/>
  <c r="P95" i="11"/>
  <c r="S168" i="11"/>
  <c r="S174" i="11"/>
  <c r="S144" i="11"/>
  <c r="S165" i="11"/>
  <c r="S172" i="11"/>
  <c r="S177" i="11"/>
  <c r="S139" i="11"/>
  <c r="S146" i="11"/>
  <c r="S153" i="11"/>
  <c r="S156" i="11"/>
  <c r="E144" i="23"/>
  <c r="L89" i="23"/>
  <c r="L104" i="23"/>
  <c r="L118" i="23"/>
  <c r="L112" i="23"/>
  <c r="L91" i="23"/>
  <c r="L105" i="23"/>
  <c r="L120" i="23"/>
  <c r="L126" i="23"/>
  <c r="L99" i="23"/>
  <c r="L121" i="23"/>
  <c r="L127" i="23"/>
  <c r="L93" i="23"/>
  <c r="L86" i="23"/>
  <c r="L94" i="23"/>
  <c r="L101" i="23"/>
  <c r="L122" i="23"/>
  <c r="L129" i="23"/>
  <c r="L87" i="23"/>
  <c r="L95" i="23"/>
  <c r="L109" i="23"/>
  <c r="L96" i="23"/>
  <c r="L110" i="23"/>
  <c r="L123" i="23"/>
  <c r="J144" i="23"/>
  <c r="Q68" i="11" l="1"/>
  <c r="Q69" i="11" s="1"/>
  <c r="O140" i="11" s="1"/>
  <c r="P140" i="11" s="1"/>
  <c r="Q140" i="11" s="1"/>
  <c r="F82" i="23"/>
  <c r="L144" i="23"/>
  <c r="M80" i="23"/>
  <c r="M81" i="23" s="1"/>
  <c r="M133" i="23" s="1"/>
  <c r="N133" i="23" s="1"/>
  <c r="F202" i="23" s="1"/>
  <c r="Q98" i="11" l="1"/>
  <c r="R98" i="11" s="1"/>
  <c r="Q89" i="11"/>
  <c r="R89" i="11" s="1"/>
  <c r="Q90" i="11"/>
  <c r="R90" i="11" s="1"/>
  <c r="Q76" i="11"/>
  <c r="R76" i="11" s="1"/>
  <c r="Q114" i="11"/>
  <c r="R114" i="11" s="1"/>
  <c r="Q103" i="11"/>
  <c r="R103" i="11" s="1"/>
  <c r="Q88" i="11"/>
  <c r="R88" i="11" s="1"/>
  <c r="O146" i="11"/>
  <c r="P146" i="11" s="1"/>
  <c r="Q146" i="11" s="1"/>
  <c r="O145" i="11"/>
  <c r="P145" i="11" s="1"/>
  <c r="Q145" i="11" s="1"/>
  <c r="O183" i="11"/>
  <c r="P183" i="11" s="1"/>
  <c r="Q183" i="11" s="1"/>
  <c r="O166" i="11"/>
  <c r="P166" i="11" s="1"/>
  <c r="Q166" i="11" s="1"/>
  <c r="O149" i="11"/>
  <c r="P149" i="11" s="1"/>
  <c r="Q149" i="11" s="1"/>
  <c r="Q99" i="11"/>
  <c r="R99" i="11" s="1"/>
  <c r="Q75" i="11"/>
  <c r="R75" i="11" s="1"/>
  <c r="Q82" i="11"/>
  <c r="R82" i="11" s="1"/>
  <c r="Q121" i="11"/>
  <c r="R121" i="11" s="1"/>
  <c r="Q106" i="11"/>
  <c r="R106" i="11" s="1"/>
  <c r="Q95" i="11"/>
  <c r="R95" i="11" s="1"/>
  <c r="Q80" i="11"/>
  <c r="R80" i="11" s="1"/>
  <c r="O179" i="11"/>
  <c r="P179" i="11" s="1"/>
  <c r="Q179" i="11" s="1"/>
  <c r="O155" i="11"/>
  <c r="P155" i="11" s="1"/>
  <c r="Q155" i="11" s="1"/>
  <c r="O175" i="11"/>
  <c r="P175" i="11" s="1"/>
  <c r="Q175" i="11" s="1"/>
  <c r="O150" i="11"/>
  <c r="P150" i="11" s="1"/>
  <c r="Q150" i="11" s="1"/>
  <c r="O141" i="11"/>
  <c r="P141" i="11" s="1"/>
  <c r="Q141" i="11" s="1"/>
  <c r="Q111" i="11"/>
  <c r="R111" i="11" s="1"/>
  <c r="Q122" i="11"/>
  <c r="R122" i="11" s="1"/>
  <c r="Q96" i="11"/>
  <c r="R96" i="11" s="1"/>
  <c r="O153" i="11"/>
  <c r="P153" i="11" s="1"/>
  <c r="Q153" i="11" s="1"/>
  <c r="O174" i="11"/>
  <c r="P174" i="11" s="1"/>
  <c r="Q174" i="11" s="1"/>
  <c r="Q91" i="11"/>
  <c r="R91" i="11" s="1"/>
  <c r="Q113" i="11"/>
  <c r="R113" i="11" s="1"/>
  <c r="O147" i="11"/>
  <c r="P147" i="11" s="1"/>
  <c r="Q147" i="11" s="1"/>
  <c r="O159" i="11"/>
  <c r="P159" i="11" s="1"/>
  <c r="Q159" i="11" s="1"/>
  <c r="Q101" i="11"/>
  <c r="R101" i="11" s="1"/>
  <c r="O186" i="11"/>
  <c r="P186" i="11" s="1"/>
  <c r="Q186" i="11" s="1"/>
  <c r="O176" i="11"/>
  <c r="P176" i="11" s="1"/>
  <c r="Q176" i="11" s="1"/>
  <c r="O151" i="11"/>
  <c r="P151" i="11" s="1"/>
  <c r="Q151" i="11" s="1"/>
  <c r="O187" i="11"/>
  <c r="P187" i="11" s="1"/>
  <c r="Q187" i="11" s="1"/>
  <c r="O180" i="11"/>
  <c r="P180" i="11" s="1"/>
  <c r="Q180" i="11" s="1"/>
  <c r="Q84" i="11"/>
  <c r="R84" i="11" s="1"/>
  <c r="Q107" i="11"/>
  <c r="R107" i="11" s="1"/>
  <c r="O154" i="11"/>
  <c r="P154" i="11" s="1"/>
  <c r="Q154" i="11" s="1"/>
  <c r="O144" i="11"/>
  <c r="P144" i="11" s="1"/>
  <c r="Q144" i="11" s="1"/>
  <c r="O165" i="11"/>
  <c r="P165" i="11" s="1"/>
  <c r="Q165" i="11" s="1"/>
  <c r="Q109" i="11"/>
  <c r="R109" i="11" s="1"/>
  <c r="Q102" i="11"/>
  <c r="R102" i="11" s="1"/>
  <c r="O163" i="11"/>
  <c r="P163" i="11" s="1"/>
  <c r="Q163" i="11" s="1"/>
  <c r="O184" i="11"/>
  <c r="P184" i="11" s="1"/>
  <c r="Q184" i="11" s="1"/>
  <c r="O188" i="11"/>
  <c r="P188" i="11" s="1"/>
  <c r="Q188" i="11" s="1"/>
  <c r="Q81" i="11"/>
  <c r="R81" i="11" s="1"/>
  <c r="Q120" i="11"/>
  <c r="R120" i="11" s="1"/>
  <c r="Q94" i="11"/>
  <c r="R94" i="11" s="1"/>
  <c r="Q79" i="11"/>
  <c r="R79" i="11" s="1"/>
  <c r="Q97" i="11"/>
  <c r="R97" i="11" s="1"/>
  <c r="Q73" i="11"/>
  <c r="R73" i="11" s="1"/>
  <c r="Q112" i="11"/>
  <c r="R112" i="11" s="1"/>
  <c r="Q93" i="11"/>
  <c r="R93" i="11" s="1"/>
  <c r="Q86" i="11"/>
  <c r="R86" i="11" s="1"/>
  <c r="Q116" i="11"/>
  <c r="R116" i="11" s="1"/>
  <c r="O178" i="11"/>
  <c r="P178" i="11" s="1"/>
  <c r="Q178" i="11" s="1"/>
  <c r="O177" i="11"/>
  <c r="P177" i="11" s="1"/>
  <c r="Q177" i="11" s="1"/>
  <c r="O168" i="11"/>
  <c r="P168" i="11" s="1"/>
  <c r="Q168" i="11" s="1"/>
  <c r="O143" i="11"/>
  <c r="P143" i="11" s="1"/>
  <c r="Q143" i="11" s="1"/>
  <c r="O139" i="11"/>
  <c r="P139" i="11" s="1"/>
  <c r="Q139" i="11" s="1"/>
  <c r="O172" i="11"/>
  <c r="P172" i="11" s="1"/>
  <c r="Q172" i="11" s="1"/>
  <c r="Q74" i="11"/>
  <c r="R74" i="11" s="1"/>
  <c r="Q87" i="11"/>
  <c r="R87" i="11" s="1"/>
  <c r="O142" i="11"/>
  <c r="P142" i="11" s="1"/>
  <c r="Q142" i="11" s="1"/>
  <c r="Q83" i="11"/>
  <c r="R83" i="11" s="1"/>
  <c r="O185" i="11"/>
  <c r="P185" i="11" s="1"/>
  <c r="Q185" i="11" s="1"/>
  <c r="Q119" i="11"/>
  <c r="R119" i="11" s="1"/>
  <c r="Q118" i="11"/>
  <c r="R118" i="11" s="1"/>
  <c r="Q100" i="11"/>
  <c r="R100" i="11" s="1"/>
  <c r="Q85" i="11"/>
  <c r="R85" i="11" s="1"/>
  <c r="Q78" i="11"/>
  <c r="R78" i="11" s="1"/>
  <c r="Q108" i="11"/>
  <c r="R108" i="11" s="1"/>
  <c r="O170" i="11"/>
  <c r="P170" i="11" s="1"/>
  <c r="Q170" i="11" s="1"/>
  <c r="O169" i="11"/>
  <c r="P169" i="11" s="1"/>
  <c r="Q169" i="11" s="1"/>
  <c r="O160" i="11"/>
  <c r="P160" i="11" s="1"/>
  <c r="Q160" i="11" s="1"/>
  <c r="O171" i="11"/>
  <c r="P171" i="11" s="1"/>
  <c r="Q171" i="11" s="1"/>
  <c r="O181" i="11"/>
  <c r="P181" i="11" s="1"/>
  <c r="Q181" i="11" s="1"/>
  <c r="O164" i="11"/>
  <c r="P164" i="11" s="1"/>
  <c r="Q164" i="11" s="1"/>
  <c r="Q117" i="11"/>
  <c r="R117" i="11" s="1"/>
  <c r="Q110" i="11"/>
  <c r="R110" i="11" s="1"/>
  <c r="Q92" i="11"/>
  <c r="R92" i="11" s="1"/>
  <c r="Q77" i="11"/>
  <c r="R77" i="11" s="1"/>
  <c r="Q115" i="11"/>
  <c r="R115" i="11" s="1"/>
  <c r="Q104" i="11"/>
  <c r="R104" i="11" s="1"/>
  <c r="O162" i="11"/>
  <c r="P162" i="11" s="1"/>
  <c r="Q162" i="11" s="1"/>
  <c r="O161" i="11"/>
  <c r="P161" i="11" s="1"/>
  <c r="Q161" i="11" s="1"/>
  <c r="O152" i="11"/>
  <c r="P152" i="11" s="1"/>
  <c r="Q152" i="11" s="1"/>
  <c r="O182" i="11"/>
  <c r="P182" i="11" s="1"/>
  <c r="Q182" i="11" s="1"/>
  <c r="O173" i="11"/>
  <c r="P173" i="11" s="1"/>
  <c r="Q173" i="11" s="1"/>
  <c r="O156" i="11"/>
  <c r="P156" i="11" s="1"/>
  <c r="Q156" i="11" s="1"/>
  <c r="G85" i="23"/>
  <c r="E154" i="23" s="1"/>
  <c r="D35" i="13" s="1"/>
  <c r="F88" i="23"/>
  <c r="G88" i="23" s="1"/>
  <c r="E157" i="23" s="1"/>
  <c r="D20" i="13" s="1"/>
  <c r="F96" i="23"/>
  <c r="G96" i="23" s="1"/>
  <c r="E165" i="23" s="1"/>
  <c r="D52" i="13" s="1"/>
  <c r="F104" i="23"/>
  <c r="G104" i="23" s="1"/>
  <c r="E173" i="23" s="1"/>
  <c r="D51" i="13" s="1"/>
  <c r="F112" i="23"/>
  <c r="G112" i="23" s="1"/>
  <c r="E181" i="23" s="1"/>
  <c r="D53" i="13" s="1"/>
  <c r="F120" i="23"/>
  <c r="G120" i="23" s="1"/>
  <c r="E189" i="23" s="1"/>
  <c r="D40" i="13" s="1"/>
  <c r="F128" i="23"/>
  <c r="G128" i="23" s="1"/>
  <c r="E197" i="23" s="1"/>
  <c r="D41" i="13" s="1"/>
  <c r="F127" i="23"/>
  <c r="G127" i="23" s="1"/>
  <c r="E196" i="23" s="1"/>
  <c r="D30" i="13" s="1"/>
  <c r="F89" i="23"/>
  <c r="G89" i="23" s="1"/>
  <c r="E158" i="23" s="1"/>
  <c r="D25" i="13" s="1"/>
  <c r="F97" i="23"/>
  <c r="G97" i="23" s="1"/>
  <c r="E166" i="23" s="1"/>
  <c r="D29" i="13" s="1"/>
  <c r="F105" i="23"/>
  <c r="G105" i="23" s="1"/>
  <c r="E174" i="23" s="1"/>
  <c r="D62" i="13" s="1"/>
  <c r="F113" i="23"/>
  <c r="G113" i="23" s="1"/>
  <c r="E182" i="23" s="1"/>
  <c r="D57" i="13" s="1"/>
  <c r="F121" i="23"/>
  <c r="G121" i="23" s="1"/>
  <c r="E190" i="23" s="1"/>
  <c r="D39" i="13" s="1"/>
  <c r="F129" i="23"/>
  <c r="G129" i="23" s="1"/>
  <c r="E198" i="23" s="1"/>
  <c r="D36" i="13" s="1"/>
  <c r="F111" i="23"/>
  <c r="G111" i="23" s="1"/>
  <c r="E180" i="23" s="1"/>
  <c r="D78" i="13" s="1"/>
  <c r="F90" i="23"/>
  <c r="G90" i="23" s="1"/>
  <c r="E159" i="23" s="1"/>
  <c r="F98" i="23"/>
  <c r="G98" i="23" s="1"/>
  <c r="E167" i="23" s="1"/>
  <c r="D77" i="13" s="1"/>
  <c r="F106" i="23"/>
  <c r="G106" i="23" s="1"/>
  <c r="E175" i="23" s="1"/>
  <c r="D61" i="13" s="1"/>
  <c r="F114" i="23"/>
  <c r="G114" i="23" s="1"/>
  <c r="E183" i="23" s="1"/>
  <c r="D31" i="13" s="1"/>
  <c r="F122" i="23"/>
  <c r="G122" i="23" s="1"/>
  <c r="E191" i="23" s="1"/>
  <c r="D22" i="13" s="1"/>
  <c r="F130" i="23"/>
  <c r="G130" i="23" s="1"/>
  <c r="E199" i="23" s="1"/>
  <c r="D37" i="13" s="1"/>
  <c r="F87" i="23"/>
  <c r="G87" i="23" s="1"/>
  <c r="E156" i="23" s="1"/>
  <c r="F85" i="23"/>
  <c r="F91" i="23"/>
  <c r="G91" i="23" s="1"/>
  <c r="E160" i="23" s="1"/>
  <c r="D18" i="13" s="1"/>
  <c r="F99" i="23"/>
  <c r="G99" i="23" s="1"/>
  <c r="E168" i="23" s="1"/>
  <c r="F107" i="23"/>
  <c r="G107" i="23" s="1"/>
  <c r="E176" i="23" s="1"/>
  <c r="D72" i="13" s="1"/>
  <c r="F115" i="23"/>
  <c r="G115" i="23" s="1"/>
  <c r="E184" i="23" s="1"/>
  <c r="D59" i="13" s="1"/>
  <c r="F123" i="23"/>
  <c r="G123" i="23" s="1"/>
  <c r="E192" i="23" s="1"/>
  <c r="D71" i="13" s="1"/>
  <c r="F131" i="23"/>
  <c r="G131" i="23" s="1"/>
  <c r="E200" i="23" s="1"/>
  <c r="D38" i="13" s="1"/>
  <c r="F95" i="23"/>
  <c r="G95" i="23" s="1"/>
  <c r="E164" i="23" s="1"/>
  <c r="F92" i="23"/>
  <c r="G92" i="23" s="1"/>
  <c r="E161" i="23" s="1"/>
  <c r="F100" i="23"/>
  <c r="G100" i="23" s="1"/>
  <c r="E169" i="23" s="1"/>
  <c r="D58" i="13" s="1"/>
  <c r="F108" i="23"/>
  <c r="G108" i="23" s="1"/>
  <c r="E177" i="23" s="1"/>
  <c r="D21" i="13" s="1"/>
  <c r="F116" i="23"/>
  <c r="G116" i="23" s="1"/>
  <c r="E185" i="23" s="1"/>
  <c r="D80" i="13" s="1"/>
  <c r="F124" i="23"/>
  <c r="G124" i="23" s="1"/>
  <c r="E193" i="23" s="1"/>
  <c r="D55" i="13" s="1"/>
  <c r="F132" i="23"/>
  <c r="G132" i="23" s="1"/>
  <c r="E201" i="23" s="1"/>
  <c r="D23" i="13" s="1"/>
  <c r="F119" i="23"/>
  <c r="G119" i="23" s="1"/>
  <c r="E188" i="23" s="1"/>
  <c r="D74" i="13" s="1"/>
  <c r="F93" i="23"/>
  <c r="G93" i="23" s="1"/>
  <c r="E162" i="23" s="1"/>
  <c r="D19" i="13" s="1"/>
  <c r="F101" i="23"/>
  <c r="G101" i="23" s="1"/>
  <c r="E170" i="23" s="1"/>
  <c r="D32" i="13" s="1"/>
  <c r="F109" i="23"/>
  <c r="G109" i="23" s="1"/>
  <c r="E178" i="23" s="1"/>
  <c r="D34" i="13" s="1"/>
  <c r="F117" i="23"/>
  <c r="F125" i="23"/>
  <c r="G125" i="23" s="1"/>
  <c r="E194" i="23" s="1"/>
  <c r="D24" i="13" s="1"/>
  <c r="F133" i="23"/>
  <c r="G133" i="23" s="1"/>
  <c r="E202" i="23" s="1"/>
  <c r="G202" i="23" s="1"/>
  <c r="F86" i="23"/>
  <c r="G86" i="23" s="1"/>
  <c r="E155" i="23" s="1"/>
  <c r="D33" i="13" s="1"/>
  <c r="F94" i="23"/>
  <c r="G94" i="23" s="1"/>
  <c r="E163" i="23" s="1"/>
  <c r="D16" i="13" s="1"/>
  <c r="F102" i="23"/>
  <c r="G102" i="23" s="1"/>
  <c r="E171" i="23" s="1"/>
  <c r="D54" i="13" s="1"/>
  <c r="F110" i="23"/>
  <c r="G110" i="23" s="1"/>
  <c r="E179" i="23" s="1"/>
  <c r="D17" i="13" s="1"/>
  <c r="F118" i="23"/>
  <c r="G118" i="23" s="1"/>
  <c r="E187" i="23" s="1"/>
  <c r="D15" i="13" s="1"/>
  <c r="F126" i="23"/>
  <c r="G126" i="23" s="1"/>
  <c r="E195" i="23" s="1"/>
  <c r="D27" i="13" s="1"/>
  <c r="F134" i="23"/>
  <c r="G134" i="23" s="1"/>
  <c r="E203" i="23" s="1"/>
  <c r="D76" i="13" s="1"/>
  <c r="F103" i="23"/>
  <c r="G103" i="23" s="1"/>
  <c r="E172" i="23" s="1"/>
  <c r="D56" i="13" s="1"/>
  <c r="O167" i="11"/>
  <c r="P167" i="11" s="1"/>
  <c r="Q167" i="11" s="1"/>
  <c r="O158" i="11"/>
  <c r="P158" i="11" s="1"/>
  <c r="Q158" i="11" s="1"/>
  <c r="O157" i="11"/>
  <c r="P157" i="11" s="1"/>
  <c r="Q157" i="11" s="1"/>
  <c r="O148" i="11"/>
  <c r="P148" i="11" s="1"/>
  <c r="Q148" i="11" s="1"/>
  <c r="D73" i="13"/>
  <c r="D28" i="13"/>
  <c r="M105" i="23"/>
  <c r="N105" i="23" s="1"/>
  <c r="F174" i="23" s="1"/>
  <c r="M93" i="23"/>
  <c r="N93" i="23" s="1"/>
  <c r="F162" i="23" s="1"/>
  <c r="M112" i="23"/>
  <c r="N112" i="23" s="1"/>
  <c r="F181" i="23" s="1"/>
  <c r="M131" i="23"/>
  <c r="N131" i="23" s="1"/>
  <c r="F200" i="23" s="1"/>
  <c r="M109" i="23"/>
  <c r="N109" i="23" s="1"/>
  <c r="F178" i="23" s="1"/>
  <c r="M134" i="23"/>
  <c r="N134" i="23" s="1"/>
  <c r="F203" i="23" s="1"/>
  <c r="M124" i="23"/>
  <c r="N124" i="23" s="1"/>
  <c r="F193" i="23" s="1"/>
  <c r="M104" i="23"/>
  <c r="N104" i="23" s="1"/>
  <c r="F173" i="23" s="1"/>
  <c r="M87" i="23"/>
  <c r="N87" i="23" s="1"/>
  <c r="F156" i="23" s="1"/>
  <c r="M128" i="23"/>
  <c r="N128" i="23" s="1"/>
  <c r="F197" i="23" s="1"/>
  <c r="M115" i="23"/>
  <c r="N115" i="23" s="1"/>
  <c r="F184" i="23" s="1"/>
  <c r="M92" i="23"/>
  <c r="N92" i="23" s="1"/>
  <c r="F161" i="23" s="1"/>
  <c r="M123" i="23"/>
  <c r="N123" i="23" s="1"/>
  <c r="F192" i="23" s="1"/>
  <c r="M94" i="23"/>
  <c r="N94" i="23" s="1"/>
  <c r="F163" i="23" s="1"/>
  <c r="M126" i="23"/>
  <c r="N126" i="23" s="1"/>
  <c r="F195" i="23" s="1"/>
  <c r="M130" i="23"/>
  <c r="N130" i="23" s="1"/>
  <c r="F199" i="23" s="1"/>
  <c r="M125" i="23"/>
  <c r="N125" i="23" s="1"/>
  <c r="F194" i="23" s="1"/>
  <c r="M110" i="23"/>
  <c r="N110" i="23" s="1"/>
  <c r="F179" i="23" s="1"/>
  <c r="M86" i="23"/>
  <c r="N86" i="23" s="1"/>
  <c r="F155" i="23" s="1"/>
  <c r="M98" i="23"/>
  <c r="N98" i="23" s="1"/>
  <c r="F167" i="23" s="1"/>
  <c r="M102" i="23"/>
  <c r="N102" i="23" s="1"/>
  <c r="F171" i="23" s="1"/>
  <c r="M116" i="23"/>
  <c r="N116" i="23" s="1"/>
  <c r="F185" i="23" s="1"/>
  <c r="M119" i="23"/>
  <c r="N119" i="23" s="1"/>
  <c r="F188" i="23" s="1"/>
  <c r="M103" i="23"/>
  <c r="N103" i="23" s="1"/>
  <c r="F172" i="23" s="1"/>
  <c r="M85" i="23"/>
  <c r="N85" i="23" s="1"/>
  <c r="F154" i="23" s="1"/>
  <c r="M118" i="23"/>
  <c r="N118" i="23" s="1"/>
  <c r="F187" i="23" s="1"/>
  <c r="M96" i="23"/>
  <c r="N96" i="23" s="1"/>
  <c r="F165" i="23" s="1"/>
  <c r="M108" i="23"/>
  <c r="N108" i="23" s="1"/>
  <c r="F177" i="23" s="1"/>
  <c r="M127" i="23"/>
  <c r="N127" i="23" s="1"/>
  <c r="F196" i="23" s="1"/>
  <c r="M91" i="23"/>
  <c r="N91" i="23" s="1"/>
  <c r="F160" i="23" s="1"/>
  <c r="M132" i="23"/>
  <c r="N132" i="23" s="1"/>
  <c r="F201" i="23" s="1"/>
  <c r="M111" i="23"/>
  <c r="N111" i="23" s="1"/>
  <c r="F180" i="23" s="1"/>
  <c r="M101" i="23"/>
  <c r="N101" i="23" s="1"/>
  <c r="F170" i="23" s="1"/>
  <c r="M121" i="23"/>
  <c r="N121" i="23" s="1"/>
  <c r="F190" i="23" s="1"/>
  <c r="M90" i="23"/>
  <c r="N90" i="23" s="1"/>
  <c r="F159" i="23" s="1"/>
  <c r="M95" i="23"/>
  <c r="N95" i="23" s="1"/>
  <c r="F164" i="23" s="1"/>
  <c r="M100" i="23"/>
  <c r="N100" i="23" s="1"/>
  <c r="F169" i="23" s="1"/>
  <c r="M97" i="23"/>
  <c r="N97" i="23" s="1"/>
  <c r="F166" i="23" s="1"/>
  <c r="M88" i="23"/>
  <c r="N88" i="23" s="1"/>
  <c r="F157" i="23" s="1"/>
  <c r="M129" i="23"/>
  <c r="N129" i="23" s="1"/>
  <c r="F198" i="23" s="1"/>
  <c r="M106" i="23"/>
  <c r="N106" i="23" s="1"/>
  <c r="F175" i="23" s="1"/>
  <c r="M113" i="23"/>
  <c r="N113" i="23" s="1"/>
  <c r="F182" i="23" s="1"/>
  <c r="M114" i="23"/>
  <c r="N114" i="23" s="1"/>
  <c r="F183" i="23" s="1"/>
  <c r="M120" i="23"/>
  <c r="N120" i="23" s="1"/>
  <c r="F189" i="23" s="1"/>
  <c r="M89" i="23"/>
  <c r="N89" i="23" s="1"/>
  <c r="F158" i="23" s="1"/>
  <c r="M122" i="23"/>
  <c r="N122" i="23" s="1"/>
  <c r="F191" i="23" s="1"/>
  <c r="M107" i="23"/>
  <c r="N107" i="23" s="1"/>
  <c r="F176" i="23" s="1"/>
  <c r="M99" i="23"/>
  <c r="N99" i="23" s="1"/>
  <c r="F168" i="23" s="1"/>
  <c r="S19" i="31" l="1"/>
  <c r="S63" i="31"/>
  <c r="H202" i="23"/>
  <c r="G75" i="13" s="1"/>
  <c r="D75" i="13"/>
  <c r="G196" i="23"/>
  <c r="H196" i="23"/>
  <c r="G189" i="23"/>
  <c r="H189" i="23"/>
  <c r="G40" i="13" s="1"/>
  <c r="G164" i="23"/>
  <c r="H164" i="23"/>
  <c r="H177" i="23"/>
  <c r="G21" i="13" s="1"/>
  <c r="G177" i="23"/>
  <c r="G167" i="23"/>
  <c r="H167" i="23"/>
  <c r="G77" i="13" s="1"/>
  <c r="H161" i="23"/>
  <c r="G73" i="13" s="1"/>
  <c r="G161" i="23"/>
  <c r="G200" i="23"/>
  <c r="H200" i="23"/>
  <c r="G38" i="13" s="1"/>
  <c r="G171" i="23"/>
  <c r="H171" i="23"/>
  <c r="G54" i="13" s="1"/>
  <c r="G155" i="23"/>
  <c r="H155" i="23"/>
  <c r="G33" i="13" s="1"/>
  <c r="H182" i="23"/>
  <c r="G57" i="13" s="1"/>
  <c r="G182" i="23"/>
  <c r="H190" i="23"/>
  <c r="G39" i="13" s="1"/>
  <c r="G190" i="23"/>
  <c r="G187" i="23"/>
  <c r="H187" i="23"/>
  <c r="G15" i="13" s="1"/>
  <c r="G179" i="23"/>
  <c r="H179" i="23"/>
  <c r="G17" i="13" s="1"/>
  <c r="G197" i="23"/>
  <c r="H197" i="23"/>
  <c r="G41" i="13" s="1"/>
  <c r="G162" i="23"/>
  <c r="H162" i="23"/>
  <c r="G19" i="13" s="1"/>
  <c r="H158" i="23"/>
  <c r="G25" i="13" s="1"/>
  <c r="G158" i="23"/>
  <c r="G165" i="23"/>
  <c r="H165" i="23"/>
  <c r="G52" i="13" s="1"/>
  <c r="G175" i="23"/>
  <c r="H175" i="23"/>
  <c r="G61" i="13" s="1"/>
  <c r="G154" i="23"/>
  <c r="F35" i="13" s="1"/>
  <c r="H154" i="23"/>
  <c r="F211" i="23"/>
  <c r="G194" i="23"/>
  <c r="H194" i="23"/>
  <c r="G24" i="13" s="1"/>
  <c r="G156" i="23"/>
  <c r="H156" i="23"/>
  <c r="G79" i="13" s="1"/>
  <c r="H174" i="23"/>
  <c r="G62" i="13" s="1"/>
  <c r="G174" i="23"/>
  <c r="G192" i="23"/>
  <c r="H192" i="23"/>
  <c r="G71" i="13" s="1"/>
  <c r="G183" i="23"/>
  <c r="H183" i="23"/>
  <c r="G31" i="13" s="1"/>
  <c r="G181" i="23"/>
  <c r="H181" i="23"/>
  <c r="G53" i="13" s="1"/>
  <c r="G168" i="23"/>
  <c r="H168" i="23"/>
  <c r="G28" i="13" s="1"/>
  <c r="G180" i="23"/>
  <c r="H180" i="23"/>
  <c r="G78" i="13" s="1"/>
  <c r="G172" i="23"/>
  <c r="H172" i="23"/>
  <c r="G56" i="13" s="1"/>
  <c r="G199" i="23"/>
  <c r="H199" i="23"/>
  <c r="G37" i="13" s="1"/>
  <c r="G173" i="23"/>
  <c r="H173" i="23"/>
  <c r="G51" i="13" s="1"/>
  <c r="G184" i="23"/>
  <c r="H184" i="23"/>
  <c r="G59" i="13" s="1"/>
  <c r="G170" i="23"/>
  <c r="H170" i="23"/>
  <c r="G32" i="13" s="1"/>
  <c r="H198" i="23"/>
  <c r="G36" i="13" s="1"/>
  <c r="G198" i="23"/>
  <c r="G176" i="23"/>
  <c r="H176" i="23"/>
  <c r="G72" i="13" s="1"/>
  <c r="G157" i="23"/>
  <c r="H157" i="23"/>
  <c r="G20" i="13" s="1"/>
  <c r="H201" i="23"/>
  <c r="G23" i="13" s="1"/>
  <c r="G201" i="23"/>
  <c r="G188" i="23"/>
  <c r="H188" i="23"/>
  <c r="G74" i="13" s="1"/>
  <c r="G195" i="23"/>
  <c r="H195" i="23"/>
  <c r="G27" i="13" s="1"/>
  <c r="H193" i="23"/>
  <c r="G55" i="13" s="1"/>
  <c r="G193" i="23"/>
  <c r="G144" i="23"/>
  <c r="H169" i="23"/>
  <c r="G169" i="23"/>
  <c r="G178" i="23"/>
  <c r="H178" i="23"/>
  <c r="G159" i="23"/>
  <c r="H159" i="23"/>
  <c r="G60" i="13" s="1"/>
  <c r="G191" i="23"/>
  <c r="H191" i="23"/>
  <c r="G22" i="13" s="1"/>
  <c r="H166" i="23"/>
  <c r="G29" i="13" s="1"/>
  <c r="G166" i="23"/>
  <c r="G160" i="23"/>
  <c r="H160" i="23"/>
  <c r="G18" i="13" s="1"/>
  <c r="H185" i="23"/>
  <c r="G80" i="13" s="1"/>
  <c r="G185" i="23"/>
  <c r="G163" i="23"/>
  <c r="H163" i="23"/>
  <c r="G16" i="13" s="1"/>
  <c r="G203" i="23"/>
  <c r="H203" i="23"/>
  <c r="G76" i="13" s="1"/>
  <c r="E211" i="23"/>
  <c r="D7" i="13"/>
  <c r="E9" i="13"/>
  <c r="E7" i="13"/>
  <c r="D79" i="13"/>
  <c r="D9" i="13"/>
  <c r="D60" i="13"/>
  <c r="D63" i="13" s="1"/>
  <c r="D8" i="13"/>
  <c r="D26" i="13"/>
  <c r="D42" i="13" s="1"/>
  <c r="F75" i="13"/>
  <c r="E75" i="13"/>
  <c r="E35" i="13"/>
  <c r="N144" i="23"/>
  <c r="S93" i="31" l="1"/>
  <c r="S86" i="31"/>
  <c r="S87" i="31"/>
  <c r="U99" i="31"/>
  <c r="F106" i="31" s="1"/>
  <c r="S92" i="31"/>
  <c r="D82" i="13"/>
  <c r="S59" i="31"/>
  <c r="S65" i="31"/>
  <c r="S90" i="31"/>
  <c r="S23" i="31"/>
  <c r="S24" i="31"/>
  <c r="S28" i="31"/>
  <c r="S94" i="31"/>
  <c r="U22" i="31"/>
  <c r="U39" i="31" s="1"/>
  <c r="F105" i="31" s="1"/>
  <c r="S20" i="31"/>
  <c r="S85" i="31"/>
  <c r="S11" i="31"/>
  <c r="S33" i="31"/>
  <c r="S25" i="31"/>
  <c r="S36" i="31"/>
  <c r="S30" i="31"/>
  <c r="S27" i="31"/>
  <c r="S22" i="31"/>
  <c r="S14" i="31"/>
  <c r="S34" i="31"/>
  <c r="S31" i="31"/>
  <c r="S21" i="31"/>
  <c r="S26" i="31"/>
  <c r="S18" i="31"/>
  <c r="S10" i="31"/>
  <c r="S95" i="31"/>
  <c r="S17" i="31"/>
  <c r="S15" i="31"/>
  <c r="S12" i="31"/>
  <c r="S88" i="31"/>
  <c r="S32" i="31"/>
  <c r="S29" i="31"/>
  <c r="S35" i="31"/>
  <c r="S58" i="31"/>
  <c r="S91" i="31"/>
  <c r="S89" i="31"/>
  <c r="S16" i="31"/>
  <c r="S13" i="31"/>
  <c r="S60" i="31"/>
  <c r="U64" i="31"/>
  <c r="U76" i="31" s="1"/>
  <c r="F107" i="31" s="1"/>
  <c r="S67" i="31"/>
  <c r="S61" i="31"/>
  <c r="S62" i="31"/>
  <c r="S68" i="31"/>
  <c r="S66" i="31"/>
  <c r="S64" i="31"/>
  <c r="S57" i="31"/>
  <c r="G211" i="23"/>
  <c r="G7" i="13"/>
  <c r="F7" i="13"/>
  <c r="F58" i="13"/>
  <c r="G58" i="13"/>
  <c r="E8" i="13"/>
  <c r="F8" i="13" s="1"/>
  <c r="F9" i="13"/>
  <c r="G9" i="13"/>
  <c r="D10" i="13"/>
  <c r="F73" i="13"/>
  <c r="E73" i="13"/>
  <c r="F25" i="13"/>
  <c r="E25" i="13"/>
  <c r="F17" i="13"/>
  <c r="E17" i="13"/>
  <c r="F36" i="13"/>
  <c r="E36" i="13"/>
  <c r="F62" i="13"/>
  <c r="E62" i="13"/>
  <c r="F40" i="13"/>
  <c r="E40" i="13"/>
  <c r="F52" i="13"/>
  <c r="E52" i="13"/>
  <c r="F57" i="13"/>
  <c r="E57" i="13"/>
  <c r="F18" i="13"/>
  <c r="E18" i="13"/>
  <c r="F74" i="13"/>
  <c r="E74" i="13"/>
  <c r="F51" i="13"/>
  <c r="E51" i="13"/>
  <c r="F61" i="13"/>
  <c r="E61" i="13"/>
  <c r="F60" i="13"/>
  <c r="E60" i="13"/>
  <c r="F77" i="13"/>
  <c r="E77" i="13"/>
  <c r="F76" i="13"/>
  <c r="E76" i="13"/>
  <c r="F29" i="13"/>
  <c r="E29" i="13"/>
  <c r="F39" i="13"/>
  <c r="E39" i="13"/>
  <c r="F23" i="13"/>
  <c r="E23" i="13"/>
  <c r="F37" i="13"/>
  <c r="E37" i="13"/>
  <c r="F28" i="13"/>
  <c r="E28" i="13"/>
  <c r="F79" i="13"/>
  <c r="E79" i="13"/>
  <c r="F71" i="13"/>
  <c r="E71" i="13"/>
  <c r="F59" i="13"/>
  <c r="E59" i="13"/>
  <c r="F21" i="13"/>
  <c r="E21" i="13"/>
  <c r="F16" i="13"/>
  <c r="E16" i="13"/>
  <c r="F22" i="13"/>
  <c r="E22" i="13"/>
  <c r="F55" i="13"/>
  <c r="E55" i="13"/>
  <c r="F24" i="13"/>
  <c r="E24" i="13"/>
  <c r="F54" i="13"/>
  <c r="E54" i="13"/>
  <c r="F20" i="13"/>
  <c r="E20" i="13"/>
  <c r="F56" i="13"/>
  <c r="E56" i="13"/>
  <c r="F41" i="13"/>
  <c r="E41" i="13"/>
  <c r="F38" i="13"/>
  <c r="E38" i="13"/>
  <c r="F53" i="13"/>
  <c r="E53" i="13"/>
  <c r="F31" i="13"/>
  <c r="E31" i="13"/>
  <c r="E58" i="13"/>
  <c r="F80" i="13"/>
  <c r="E80" i="13"/>
  <c r="F19" i="13"/>
  <c r="E19" i="13"/>
  <c r="F27" i="13"/>
  <c r="E27" i="13"/>
  <c r="F72" i="13"/>
  <c r="E72" i="13"/>
  <c r="F15" i="13"/>
  <c r="E15" i="13"/>
  <c r="F33" i="13"/>
  <c r="E33" i="13"/>
  <c r="F78" i="13"/>
  <c r="E78" i="13"/>
  <c r="F32" i="13"/>
  <c r="E32" i="13"/>
  <c r="G26" i="13"/>
  <c r="G34" i="13"/>
  <c r="G30" i="13"/>
  <c r="G35" i="13"/>
  <c r="T76" i="31" l="1"/>
  <c r="E107" i="31" s="1"/>
  <c r="T75" i="31"/>
  <c r="T100" i="31"/>
  <c r="E106" i="31"/>
  <c r="T39" i="31"/>
  <c r="E105" i="31" s="1"/>
  <c r="T40" i="31"/>
  <c r="T38" i="31"/>
  <c r="T77" i="31"/>
  <c r="E10" i="13"/>
  <c r="G8" i="13"/>
  <c r="E63" i="13"/>
  <c r="F10" i="13"/>
  <c r="F63" i="13"/>
  <c r="G63" i="13" s="1"/>
  <c r="E82" i="13"/>
  <c r="F82" i="13"/>
  <c r="G82" i="13" s="1"/>
  <c r="F26" i="13"/>
  <c r="E26" i="13"/>
  <c r="F34" i="13"/>
  <c r="E34" i="13"/>
  <c r="F30" i="13"/>
  <c r="E30" i="13"/>
  <c r="F42" i="13" l="1"/>
  <c r="G42" i="13" s="1"/>
  <c r="E42"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<sst xmlns="http://schemas.openxmlformats.org/spreadsheetml/2006/main" count="1712" uniqueCount="741">
  <si>
    <t/>
  </si>
  <si>
    <t>Illustration of residual charge TPM amendment proposal</t>
  </si>
  <si>
    <t xml:space="preserve">Electricity Authority </t>
  </si>
  <si>
    <t>Date:</t>
  </si>
  <si>
    <t>August 2024</t>
  </si>
  <si>
    <t>Version:</t>
  </si>
  <si>
    <t>v1.0</t>
  </si>
  <si>
    <t>Overview</t>
  </si>
  <si>
    <t>Purpose</t>
  </si>
  <si>
    <t>To illustrate the impact of the identified residual charge issues and the proposed solution this workbook models the impact in two parts</t>
  </si>
  <si>
    <t>Part 1:</t>
  </si>
  <si>
    <t xml:space="preserve"> - the indicative increase in residual charges for existing customers increasing their consumption by an additional 10,000MWh per year. </t>
  </si>
  <si>
    <t>- demonstrates the alternative formula of the residual charge allocation, and demonstrates the allocation are the same as under the status quo formula</t>
  </si>
  <si>
    <t>Part 2:</t>
  </si>
  <si>
    <t>-  the indicative rebalancing of residual charges for existing customers between the status quo and proposal if implemented in PY26/27.  </t>
  </si>
  <si>
    <t>Important assumptions</t>
  </si>
  <si>
    <r>
      <t xml:space="preserve">The modelling in </t>
    </r>
    <r>
      <rPr>
        <b/>
        <sz val="11"/>
        <color rgb="FF000000"/>
        <rFont val="Arial"/>
        <family val="2"/>
      </rPr>
      <t xml:space="preserve">Part 1 </t>
    </r>
    <r>
      <rPr>
        <sz val="11"/>
        <color rgb="FF000000"/>
        <rFont val="Arial"/>
        <family val="2"/>
      </rPr>
      <t>uses several important assumptions to show the working of the alternative formula (which with the same inputs produces the same results) and demonstrate the issue with the status quo (by running a scenario where all customers' load increases by 10,000,000kWh):</t>
    </r>
  </si>
  <si>
    <t>- builds on Transpower’s indicative prices for PY22/23.   </t>
  </si>
  <si>
    <t xml:space="preserve"> - ignores the long lag with which changes in consumption feed through to charges (by assuming the change in demand takes immediate effect) </t>
  </si>
  <si>
    <t>- assumes there are no other changes to the customer’s energy consumption </t>
  </si>
  <si>
    <t>- assumes the residual charge allocation rate (the $/kW figure applied to a customer’s AMDR) remains constant.  </t>
  </si>
  <si>
    <r>
      <t xml:space="preserve">The modelling in </t>
    </r>
    <r>
      <rPr>
        <b/>
        <sz val="11"/>
        <color rgb="FF000000"/>
        <rFont val="Arial"/>
        <family val="2"/>
      </rPr>
      <t xml:space="preserve">Part 2 </t>
    </r>
    <r>
      <rPr>
        <sz val="11"/>
        <color rgb="FF000000"/>
        <rFont val="Arial"/>
        <family val="2"/>
      </rPr>
      <t>uses several important assumptions. As such forecasts should not be taken as a prediction of residual charges in PY26/27 (as these will also be influenced by a number of other factors).   </t>
    </r>
  </si>
  <si>
    <t>The important assumptions are:</t>
  </si>
  <si>
    <t>- Our starting point for demand (AMDR) and energy consumption (ATGE) is Transpower's indicative pricing for PY22/23 and reconciled offtake data for each network that is published on the Authority’s EMI website.</t>
  </si>
  <si>
    <t xml:space="preserve">- We model the residual charge revenue of the PY22/23 indicative pricing ($454m). This does not incorporate any expected increases in residual revenue for RCP4. </t>
  </si>
  <si>
    <t>Transpower's indicative transmission charge modelling estimates residual charge revenue of $622m in PY26/27. If this residual revenue were reflected in the Commerce Commission's final RCP4 decision all estimates in our modelling would be about 40% higher than the indicative figures in this workbook</t>
  </si>
  <si>
    <t xml:space="preserve">- Transpower's indicative pricing for PY22/23 may reflect adjustments to residual charges under the TPM or additional information on gross energy. </t>
  </si>
  <si>
    <t>These are also reflected in the figures for PY22/23. Our inputs and calculations for PY26/27 do not reflect any adjustments events or additional information on demand met from behind-the-meter generation that may have been applied since TPM implementation by Transpower.  </t>
  </si>
  <si>
    <t>- We have updated the list of designated transmission customers that are customers in PY24/25 and also made the following assumptions:  </t>
  </si>
  <si>
    <t>- Due to data availability from our sources, we have assumed Manawa Energy and Whareroa Cogeneration Limited’s gross energy in PY26/27 is the same as in PY22/23.  </t>
  </si>
  <si>
    <t>- We have assumed customers that connected after PY22/23 receive no allocation of charges. Customers could add their data to the modelling using the placeholder rows provided.</t>
  </si>
  <si>
    <t>- We have excluded parties that are no longer transmission customers in PY24/25 (eg, Norske Skog).  </t>
  </si>
  <si>
    <t>This page intentionally left blank</t>
  </si>
  <si>
    <t>Outputs - Part 1</t>
  </si>
  <si>
    <t>Lines business</t>
  </si>
  <si>
    <t>Status quo</t>
  </si>
  <si>
    <t xml:space="preserve">Proposal </t>
  </si>
  <si>
    <t>Customer</t>
  </si>
  <si>
    <t>Minimum</t>
  </si>
  <si>
    <t>Median</t>
  </si>
  <si>
    <t>Maximum</t>
  </si>
  <si>
    <t>Generator</t>
  </si>
  <si>
    <t>Direct connect</t>
  </si>
  <si>
    <t>Table for consultation paper</t>
  </si>
  <si>
    <t>Incremental annual residual charge for additional load ($)</t>
  </si>
  <si>
    <t>Proposal</t>
  </si>
  <si>
    <t>Calculations  - Part 1</t>
  </si>
  <si>
    <t>Residual charge rate ($ per kW)</t>
  </si>
  <si>
    <t>Reflects PY24/25 transmission customer list. Read important assumption in 'Overview' sheet</t>
  </si>
  <si>
    <t>https://static.transpower.co.nz/public/uncontrolled_docs/Apr%202024%20All%20Customer%20Charges%20Report.xlsx?VersionId=jWsUjk5_fhOtz26idHa.bgOODUYv8I2I</t>
  </si>
  <si>
    <t>2022/23 indicative pricing</t>
  </si>
  <si>
    <t>For 2022/23, AGTEbaseline=LATGE</t>
  </si>
  <si>
    <t>Customer code</t>
  </si>
  <si>
    <t>Customer name</t>
  </si>
  <si>
    <t>Customer type</t>
  </si>
  <si>
    <t>AMDRbaseline (kW)</t>
  </si>
  <si>
    <t>ATGEbaseline (kWh)</t>
  </si>
  <si>
    <t>LATGE (kWh)</t>
  </si>
  <si>
    <t>RCAF</t>
  </si>
  <si>
    <t>AMDRn (kW)</t>
  </si>
  <si>
    <t>Residual charge rate ($/kW)</t>
  </si>
  <si>
    <t>Annual residual charge (ARC) ($)</t>
  </si>
  <si>
    <t>Equivalence between methods (if inputs are the same)</t>
  </si>
  <si>
    <t>Alpine Energy Ltd</t>
  </si>
  <si>
    <t>ALPE</t>
  </si>
  <si>
    <t>Lines Business</t>
  </si>
  <si>
    <t>Aurora Energy Limited</t>
  </si>
  <si>
    <t>DUNE</t>
  </si>
  <si>
    <t>Beach Energy Resources NZ (Holdings) Ltd</t>
  </si>
  <si>
    <t>KUPE</t>
  </si>
  <si>
    <t>Direct Connect</t>
  </si>
  <si>
    <t>Buller Electricity Ltd</t>
  </si>
  <si>
    <t>BUEL</t>
  </si>
  <si>
    <t>Centralines Limited</t>
  </si>
  <si>
    <t>CHBP</t>
  </si>
  <si>
    <t>Contact Energy Limited</t>
  </si>
  <si>
    <t>CTCT</t>
  </si>
  <si>
    <t>Counties Energy Ltd</t>
  </si>
  <si>
    <t>COUP</t>
  </si>
  <si>
    <t>Daiken Southland Limited</t>
  </si>
  <si>
    <t>RAYN</t>
  </si>
  <si>
    <t>EA Networks</t>
  </si>
  <si>
    <t>EASH</t>
  </si>
  <si>
    <t>Electra Limited</t>
  </si>
  <si>
    <t>HORO</t>
  </si>
  <si>
    <t>Firstlight Network Limited</t>
  </si>
  <si>
    <t>EAST</t>
  </si>
  <si>
    <t>Genesis Energy Ltd</t>
  </si>
  <si>
    <t>GENE</t>
  </si>
  <si>
    <t>Horizon Energy Distribution Ltd</t>
  </si>
  <si>
    <t>HRZE</t>
  </si>
  <si>
    <t>KiwiRail Holdings Limited</t>
  </si>
  <si>
    <t>TRNZ</t>
  </si>
  <si>
    <t>Mainpower New Zealand Limited</t>
  </si>
  <si>
    <t>MPOW</t>
  </si>
  <si>
    <t>Manawa Energy Ltd</t>
  </si>
  <si>
    <t>TRUG</t>
  </si>
  <si>
    <t>Marlborough Lines Limited</t>
  </si>
  <si>
    <t>MARL</t>
  </si>
  <si>
    <t>MEL (Te Apiti) Limited</t>
  </si>
  <si>
    <t>MELT</t>
  </si>
  <si>
    <t>MEL (West Wind) Limited</t>
  </si>
  <si>
    <t>MELW</t>
  </si>
  <si>
    <t>Mercury NZ Limited</t>
  </si>
  <si>
    <t>MRPL</t>
  </si>
  <si>
    <t>Mercury SPV Limited</t>
  </si>
  <si>
    <t>MSVP</t>
  </si>
  <si>
    <t>Meridian Energy Limited</t>
  </si>
  <si>
    <t>MERI</t>
  </si>
  <si>
    <t>Methanex New Zealand Ltd</t>
  </si>
  <si>
    <t>METH</t>
  </si>
  <si>
    <t>Nelson Electricity Ltd</t>
  </si>
  <si>
    <t>NELS</t>
  </si>
  <si>
    <t>Network Tasman Limited</t>
  </si>
  <si>
    <t>TASM</t>
  </si>
  <si>
    <t>Network Waitaki Limited</t>
  </si>
  <si>
    <t>WATA</t>
  </si>
  <si>
    <t>New Zealand Steel Limited</t>
  </si>
  <si>
    <t>NZST</t>
  </si>
  <si>
    <t>Nga Awa Purua Joint Venture</t>
  </si>
  <si>
    <t>NAPA</t>
  </si>
  <si>
    <t>Ngatamariki Geothermal Ltd</t>
  </si>
  <si>
    <t>NTRG</t>
  </si>
  <si>
    <t>Northpower Limited</t>
  </si>
  <si>
    <t>NPOW</t>
  </si>
  <si>
    <t>Nova Energy Limited</t>
  </si>
  <si>
    <t>TBOP</t>
  </si>
  <si>
    <t>NZ Aluminium Smelters Limited</t>
  </si>
  <si>
    <t>NZAS</t>
  </si>
  <si>
    <t>OMV New Zealand Limited</t>
  </si>
  <si>
    <t>OMVP</t>
  </si>
  <si>
    <t>Orion New Zealand Limited</t>
  </si>
  <si>
    <t>ORON</t>
  </si>
  <si>
    <t>Pan Pac Forest Product Limited</t>
  </si>
  <si>
    <t>PANP</t>
  </si>
  <si>
    <t>Powerco Limited</t>
  </si>
  <si>
    <t>POCO</t>
  </si>
  <si>
    <t>Powernet Ltd</t>
  </si>
  <si>
    <t>POWN</t>
  </si>
  <si>
    <t>Scanpower Limited</t>
  </si>
  <si>
    <t>SCAN</t>
  </si>
  <si>
    <t>Southpark Utilities Limited</t>
  </si>
  <si>
    <t>SHPK</t>
  </si>
  <si>
    <t>Tararua Wind Power</t>
  </si>
  <si>
    <t>TARW</t>
  </si>
  <si>
    <t>The Lines Company Ltd</t>
  </si>
  <si>
    <t>WTOM</t>
  </si>
  <si>
    <t>Top Energy Ltd</t>
  </si>
  <si>
    <t>TOPE</t>
  </si>
  <si>
    <t>Unison Networks Limited</t>
  </si>
  <si>
    <t>UNIS</t>
  </si>
  <si>
    <t>Vector Limited</t>
  </si>
  <si>
    <t>VECT</t>
  </si>
  <si>
    <t>Waipa Networks Limited</t>
  </si>
  <si>
    <t>WAIP</t>
  </si>
  <si>
    <t>WEL Networks Limited</t>
  </si>
  <si>
    <t>WELE</t>
  </si>
  <si>
    <t>Wellington Electricity Lines Limited</t>
  </si>
  <si>
    <t>UNET</t>
  </si>
  <si>
    <t>Westpower Limited</t>
  </si>
  <si>
    <t>WPOW</t>
  </si>
  <si>
    <t>Whareroa Cogeneration Limited</t>
  </si>
  <si>
    <t>KIWI</t>
  </si>
  <si>
    <t>Winstone Pulp International</t>
  </si>
  <si>
    <t>WNST</t>
  </si>
  <si>
    <t>Kawerau Geothermal Limited</t>
  </si>
  <si>
    <t>KWGL</t>
  </si>
  <si>
    <t>Oji Fibre Solutions (NZ) Ltd</t>
  </si>
  <si>
    <t>CHHE</t>
  </si>
  <si>
    <t>Resolution Development Ltd</t>
  </si>
  <si>
    <t>SOLE</t>
  </si>
  <si>
    <t>Southern Generation GP Limited</t>
  </si>
  <si>
    <t>SOU2</t>
  </si>
  <si>
    <t>Waverley Windfarm Limited</t>
  </si>
  <si>
    <t>WAV1</t>
  </si>
  <si>
    <t>SCGL</t>
  </si>
  <si>
    <t>Calculations with alternative formula</t>
  </si>
  <si>
    <t>A. Total AMDRbaseline  (kW)</t>
  </si>
  <si>
    <t>$m</t>
  </si>
  <si>
    <t>B. Total ATGE baseline (KWh)</t>
  </si>
  <si>
    <t>A / B</t>
  </si>
  <si>
    <t>Total Anytime Maximum Demand - kilowatt</t>
  </si>
  <si>
    <t>Alternative formula</t>
  </si>
  <si>
    <t>Proposal for consultation</t>
  </si>
  <si>
    <t>Individual conversion factors</t>
  </si>
  <si>
    <t>Uniform conversion factor</t>
  </si>
  <si>
    <t xml:space="preserve"> Uniform conversion factor applies where a load customer's  LAGEn is equal or greater than the load customer's ATGEbaseline, and individual conversion factor applies otherwise</t>
  </si>
  <si>
    <t>AMDRbaseline (kW)/ATGEbaseline (kWh)</t>
  </si>
  <si>
    <t xml:space="preserve">AMDRn (kW) </t>
  </si>
  <si>
    <t>Residual charge rate ($ /kW)</t>
  </si>
  <si>
    <t>Total AMDRbaseline (kW)/ total ATGEbaseline (kWh)</t>
  </si>
  <si>
    <t>Ratio of LATGEn: ATGEbaseline</t>
  </si>
  <si>
    <t>Scenario: additional load connects at all locations</t>
  </si>
  <si>
    <t>kWh</t>
  </si>
  <si>
    <t xml:space="preserve">Additional gross energy (kWh) </t>
  </si>
  <si>
    <t>x</t>
  </si>
  <si>
    <t>AMDR (kW) (using conversion factor formula with individual conversion factors)</t>
  </si>
  <si>
    <t>SQ - incremental annual residual charge for additional scenario load ($)</t>
  </si>
  <si>
    <t>AMDR (kW) (using conversion factor formula with uniform conversion factor)</t>
  </si>
  <si>
    <t>Alternative- incremental annual residual charge for additional scenario load ($)</t>
  </si>
  <si>
    <t>Ratio</t>
  </si>
  <si>
    <t>Inputs - Part 1</t>
  </si>
  <si>
    <t>Residual charges inputs (from Transpower's PY22/23 indicative prices)</t>
  </si>
  <si>
    <t>https://static.transpower.co.nz/public/uncontrolled_docs/TPM%20indicative%20pricing%20model%20August%202022.xlsx?VersionId=8Z2mVb4YzAuVELZXz47iIUct39jdGxU0</t>
  </si>
  <si>
    <t>Residual charge rate (RCR)</t>
  </si>
  <si>
    <t>Residual Revenue (RR)</t>
  </si>
  <si>
    <t>divided by</t>
  </si>
  <si>
    <t>Residual charge rate (RCR) - $/kilowatt</t>
  </si>
  <si>
    <t>Anytime maximum demand (residual) (AMDR)  (from Transpower's PY22/23 indicative prices)</t>
  </si>
  <si>
    <t>Anytime maximum demand (residual) (AMDR)</t>
  </si>
  <si>
    <t>Lagged Annual average Total Gross Energy (LATGE)</t>
  </si>
  <si>
    <t>kilowatts</t>
  </si>
  <si>
    <t>Location code</t>
  </si>
  <si>
    <t>Connection ID</t>
  </si>
  <si>
    <t>ABY</t>
  </si>
  <si>
    <t>ALPEABY</t>
  </si>
  <si>
    <t>BPD</t>
  </si>
  <si>
    <t>ALPEBPD</t>
  </si>
  <si>
    <t>STU</t>
  </si>
  <si>
    <t>ALPESTU</t>
  </si>
  <si>
    <t>TIM</t>
  </si>
  <si>
    <t>ALPETIM</t>
  </si>
  <si>
    <t>TKA</t>
  </si>
  <si>
    <t>ALPETKA</t>
  </si>
  <si>
    <t>TMK</t>
  </si>
  <si>
    <t>ALPETMK</t>
  </si>
  <si>
    <t>TWZ</t>
  </si>
  <si>
    <t>ALPETWZ</t>
  </si>
  <si>
    <t>ORO</t>
  </si>
  <si>
    <t>BUELORO</t>
  </si>
  <si>
    <t>WPT</t>
  </si>
  <si>
    <t>BUELWPT</t>
  </si>
  <si>
    <t>WPW</t>
  </si>
  <si>
    <t>CHBPWPW</t>
  </si>
  <si>
    <t>BOB</t>
  </si>
  <si>
    <t>COUPBOB</t>
  </si>
  <si>
    <t>GLN</t>
  </si>
  <si>
    <t>COUPGLN</t>
  </si>
  <si>
    <t>CYD</t>
  </si>
  <si>
    <t>CTCTCYD</t>
  </si>
  <si>
    <t>OKI</t>
  </si>
  <si>
    <t>CTCTOKI</t>
  </si>
  <si>
    <t>OTA</t>
  </si>
  <si>
    <t>CTCTOTA</t>
  </si>
  <si>
    <t>PPI</t>
  </si>
  <si>
    <t>CTCTPPI</t>
  </si>
  <si>
    <t>ROX</t>
  </si>
  <si>
    <t>CTCTROX</t>
  </si>
  <si>
    <t>SFD</t>
  </si>
  <si>
    <t>CTCTSFD</t>
  </si>
  <si>
    <t>THI</t>
  </si>
  <si>
    <t>CTCTTHI</t>
  </si>
  <si>
    <t>WHI</t>
  </si>
  <si>
    <t>CTCTWHI</t>
  </si>
  <si>
    <t>WRK</t>
  </si>
  <si>
    <t>CTCTWRK</t>
  </si>
  <si>
    <t>CML</t>
  </si>
  <si>
    <t>DUNECML</t>
  </si>
  <si>
    <t>DUNECYD</t>
  </si>
  <si>
    <t>FKN</t>
  </si>
  <si>
    <t>DUNEFKN</t>
  </si>
  <si>
    <t>HWB</t>
  </si>
  <si>
    <t>DUNEHWB</t>
  </si>
  <si>
    <t>SDN</t>
  </si>
  <si>
    <t>DUNESDN</t>
  </si>
  <si>
    <t>ASB</t>
  </si>
  <si>
    <t>EASHASB</t>
  </si>
  <si>
    <t>TUI</t>
  </si>
  <si>
    <t>EASTTUI</t>
  </si>
  <si>
    <t>HLY</t>
  </si>
  <si>
    <t>GENEHLY</t>
  </si>
  <si>
    <t>RPO</t>
  </si>
  <si>
    <t>GENERPO</t>
  </si>
  <si>
    <t>GENETKA</t>
  </si>
  <si>
    <t>TKB</t>
  </si>
  <si>
    <t>GENETKB</t>
  </si>
  <si>
    <t>TKU</t>
  </si>
  <si>
    <t>GENETKU</t>
  </si>
  <si>
    <t>GENETUI</t>
  </si>
  <si>
    <t>MHO</t>
  </si>
  <si>
    <t>HOROMHO</t>
  </si>
  <si>
    <t>PRM</t>
  </si>
  <si>
    <t>HOROPRM</t>
  </si>
  <si>
    <t>EDG</t>
  </si>
  <si>
    <t>HRZEEDG</t>
  </si>
  <si>
    <t>KAW</t>
  </si>
  <si>
    <t>HRZEKAW</t>
  </si>
  <si>
    <t>WAI</t>
  </si>
  <si>
    <t>HRZEWAI</t>
  </si>
  <si>
    <t>HWA</t>
  </si>
  <si>
    <t>KIWIHWA</t>
  </si>
  <si>
    <t>KUPEHWA</t>
  </si>
  <si>
    <t>BLN</t>
  </si>
  <si>
    <t>MARLBLN</t>
  </si>
  <si>
    <t>WDV</t>
  </si>
  <si>
    <t>MELTWDV</t>
  </si>
  <si>
    <t>WWD</t>
  </si>
  <si>
    <t>MELWWWD</t>
  </si>
  <si>
    <t>AVI</t>
  </si>
  <si>
    <t>MERIAVI</t>
  </si>
  <si>
    <t>BEN</t>
  </si>
  <si>
    <t>MERIBEN</t>
  </si>
  <si>
    <t>MAN</t>
  </si>
  <si>
    <t>MERIMAN</t>
  </si>
  <si>
    <t>OHA</t>
  </si>
  <si>
    <t>MERIOHA</t>
  </si>
  <si>
    <t>OHB</t>
  </si>
  <si>
    <t>MERIOHB</t>
  </si>
  <si>
    <t>OHC</t>
  </si>
  <si>
    <t>MERIOHC</t>
  </si>
  <si>
    <t>MERITWZ</t>
  </si>
  <si>
    <t>WTK</t>
  </si>
  <si>
    <t>MERIWTK</t>
  </si>
  <si>
    <t>MNI</t>
  </si>
  <si>
    <t>METHMNI</t>
  </si>
  <si>
    <t>ASY</t>
  </si>
  <si>
    <t>MPOWASY</t>
  </si>
  <si>
    <t>CUL</t>
  </si>
  <si>
    <t>MPOWCUL</t>
  </si>
  <si>
    <t>KAI</t>
  </si>
  <si>
    <t>MPOWKAI</t>
  </si>
  <si>
    <t>SBK</t>
  </si>
  <si>
    <t>MPOWSBK</t>
  </si>
  <si>
    <t>WPR</t>
  </si>
  <si>
    <t>MPOWWPR</t>
  </si>
  <si>
    <t>ARA</t>
  </si>
  <si>
    <t>MRPLARA</t>
  </si>
  <si>
    <t>ARI</t>
  </si>
  <si>
    <t>MRPLARI</t>
  </si>
  <si>
    <t>ATI</t>
  </si>
  <si>
    <t>MRPLATI</t>
  </si>
  <si>
    <t>KPO</t>
  </si>
  <si>
    <t>MRPLKPO</t>
  </si>
  <si>
    <t>MTI</t>
  </si>
  <si>
    <t>MRPLMTI</t>
  </si>
  <si>
    <t>OHK</t>
  </si>
  <si>
    <t>MRPLOHK</t>
  </si>
  <si>
    <t>WKM</t>
  </si>
  <si>
    <t>MRPLWKM</t>
  </si>
  <si>
    <t>WPA</t>
  </si>
  <si>
    <t>MRPLWPA</t>
  </si>
  <si>
    <t>LTN</t>
  </si>
  <si>
    <t>MSVPLTN</t>
  </si>
  <si>
    <t>NAP</t>
  </si>
  <si>
    <t>NAPANAP</t>
  </si>
  <si>
    <t>STK</t>
  </si>
  <si>
    <t>NELSSTK</t>
  </si>
  <si>
    <t>BRB</t>
  </si>
  <si>
    <t>NPOWBRB</t>
  </si>
  <si>
    <t>MPE</t>
  </si>
  <si>
    <t>NPOWMPE</t>
  </si>
  <si>
    <t>MTO</t>
  </si>
  <si>
    <t>NPOWMTO</t>
  </si>
  <si>
    <t>NTRGNAP</t>
  </si>
  <si>
    <t>TWI</t>
  </si>
  <si>
    <t>NZASTWI</t>
  </si>
  <si>
    <t>NZSTGLN</t>
  </si>
  <si>
    <t>OMVPMNI</t>
  </si>
  <si>
    <t>APS</t>
  </si>
  <si>
    <t>ORONAPS</t>
  </si>
  <si>
    <t>BRY</t>
  </si>
  <si>
    <t>ORONBRY</t>
  </si>
  <si>
    <t>CLH</t>
  </si>
  <si>
    <t>ORONCLH</t>
  </si>
  <si>
    <t>COL</t>
  </si>
  <si>
    <t>ORONCOL</t>
  </si>
  <si>
    <t>HOR</t>
  </si>
  <si>
    <t>ORONHOR</t>
  </si>
  <si>
    <t>ISL</t>
  </si>
  <si>
    <t>ORONISL</t>
  </si>
  <si>
    <t>KBY</t>
  </si>
  <si>
    <t>ORONKBY</t>
  </si>
  <si>
    <t>PANPWHI</t>
  </si>
  <si>
    <t>BPE</t>
  </si>
  <si>
    <t>POCOBPE</t>
  </si>
  <si>
    <t>BRK</t>
  </si>
  <si>
    <t>POCOBRK</t>
  </si>
  <si>
    <t>CST</t>
  </si>
  <si>
    <t>POCOCST</t>
  </si>
  <si>
    <t>GYT</t>
  </si>
  <si>
    <t>POCOGYT</t>
  </si>
  <si>
    <t>HIN</t>
  </si>
  <si>
    <t>POCOHIN</t>
  </si>
  <si>
    <t>HUI</t>
  </si>
  <si>
    <t>POCOHUI</t>
  </si>
  <si>
    <t>POCOHWA</t>
  </si>
  <si>
    <t>KIN</t>
  </si>
  <si>
    <t>POCOKIN</t>
  </si>
  <si>
    <t>KMO</t>
  </si>
  <si>
    <t>POCOKMO</t>
  </si>
  <si>
    <t>KPU</t>
  </si>
  <si>
    <t>POCOKPU</t>
  </si>
  <si>
    <t>POCOLTN</t>
  </si>
  <si>
    <t>MGM</t>
  </si>
  <si>
    <t>POCOMGM</t>
  </si>
  <si>
    <t>MST</t>
  </si>
  <si>
    <t>POCOMST</t>
  </si>
  <si>
    <t>MTM</t>
  </si>
  <si>
    <t>POCOMTM</t>
  </si>
  <si>
    <t>MTN</t>
  </si>
  <si>
    <t>POCOMTN</t>
  </si>
  <si>
    <t>MTR</t>
  </si>
  <si>
    <t>POCOMTR</t>
  </si>
  <si>
    <t>NPL</t>
  </si>
  <si>
    <t>POCONPL</t>
  </si>
  <si>
    <t>OKN</t>
  </si>
  <si>
    <t>POCOOKN</t>
  </si>
  <si>
    <t>OPK</t>
  </si>
  <si>
    <t>POCOOPK</t>
  </si>
  <si>
    <t>PAO</t>
  </si>
  <si>
    <t>POCOPAO</t>
  </si>
  <si>
    <t>POCOSFD</t>
  </si>
  <si>
    <t>TGA</t>
  </si>
  <si>
    <t>POCOTGA</t>
  </si>
  <si>
    <t>TMI</t>
  </si>
  <si>
    <t>POCOTMI</t>
  </si>
  <si>
    <t>WGN</t>
  </si>
  <si>
    <t>POCOWGN</t>
  </si>
  <si>
    <t>WHU</t>
  </si>
  <si>
    <t>POCOWHU</t>
  </si>
  <si>
    <t>WKO</t>
  </si>
  <si>
    <t>POCOWKO</t>
  </si>
  <si>
    <t>WVY</t>
  </si>
  <si>
    <t>POCOWVY</t>
  </si>
  <si>
    <t>BAL</t>
  </si>
  <si>
    <t>POWNBAL</t>
  </si>
  <si>
    <t>EDN</t>
  </si>
  <si>
    <t>POWNEDN</t>
  </si>
  <si>
    <t>POWNFKN</t>
  </si>
  <si>
    <t>GOR</t>
  </si>
  <si>
    <t>POWNGOR</t>
  </si>
  <si>
    <t>POWNHWB</t>
  </si>
  <si>
    <t>INV</t>
  </si>
  <si>
    <t>POWNINV</t>
  </si>
  <si>
    <t>NMA</t>
  </si>
  <si>
    <t>POWNNMA</t>
  </si>
  <si>
    <t>NSY</t>
  </si>
  <si>
    <t>POWNNSY</t>
  </si>
  <si>
    <t>BDE</t>
  </si>
  <si>
    <t>RAYNBDE</t>
  </si>
  <si>
    <t>DVK</t>
  </si>
  <si>
    <t>SCANDVK</t>
  </si>
  <si>
    <t>SCANWDV</t>
  </si>
  <si>
    <t>PEN</t>
  </si>
  <si>
    <t>SHPKPEN</t>
  </si>
  <si>
    <t>SKOG</t>
  </si>
  <si>
    <t>SKOGKAW</t>
  </si>
  <si>
    <t>MAT</t>
  </si>
  <si>
    <t>SOU2MAT</t>
  </si>
  <si>
    <t>TWC</t>
  </si>
  <si>
    <t>TARWTWC</t>
  </si>
  <si>
    <t>KIK</t>
  </si>
  <si>
    <t>TASMKIK</t>
  </si>
  <si>
    <t>MCH</t>
  </si>
  <si>
    <t>TASMMCH</t>
  </si>
  <si>
    <t>TASMSTK</t>
  </si>
  <si>
    <t>KPA</t>
  </si>
  <si>
    <t>TBOPKPA</t>
  </si>
  <si>
    <t>JRD</t>
  </si>
  <si>
    <t>TBOPJRD</t>
  </si>
  <si>
    <t>MKE</t>
  </si>
  <si>
    <t>TBOPMKE</t>
  </si>
  <si>
    <t>KOE</t>
  </si>
  <si>
    <t>TOPEKOE</t>
  </si>
  <si>
    <t>TRNZBPE</t>
  </si>
  <si>
    <t>HAM</t>
  </si>
  <si>
    <t>TRNZHAM</t>
  </si>
  <si>
    <t>TRNZPEN</t>
  </si>
  <si>
    <t>SWN</t>
  </si>
  <si>
    <t>TRNZSWN</t>
  </si>
  <si>
    <t>TMN</t>
  </si>
  <si>
    <t>TRNZTMN</t>
  </si>
  <si>
    <t>TNG</t>
  </si>
  <si>
    <t>TRNZTNG</t>
  </si>
  <si>
    <t>ARG</t>
  </si>
  <si>
    <t>TRUGARG</t>
  </si>
  <si>
    <t>BWK</t>
  </si>
  <si>
    <t>TRUGBWK</t>
  </si>
  <si>
    <t>TRUGCOL</t>
  </si>
  <si>
    <t>TRUGHWA</t>
  </si>
  <si>
    <t>TRUGMAT</t>
  </si>
  <si>
    <t>CPK</t>
  </si>
  <si>
    <t>UNETCPK</t>
  </si>
  <si>
    <t>GFD</t>
  </si>
  <si>
    <t>UNETGFD</t>
  </si>
  <si>
    <t>HAY</t>
  </si>
  <si>
    <t>UNETHAY</t>
  </si>
  <si>
    <t>KWA</t>
  </si>
  <si>
    <t>UNETKWA</t>
  </si>
  <si>
    <t>MLG</t>
  </si>
  <si>
    <t>UNETMLG</t>
  </si>
  <si>
    <t>PNI</t>
  </si>
  <si>
    <t>UNETPNI</t>
  </si>
  <si>
    <t>TKR</t>
  </si>
  <si>
    <t>UNETTKR</t>
  </si>
  <si>
    <t>UHT</t>
  </si>
  <si>
    <t>UNETUHT</t>
  </si>
  <si>
    <t>WIL</t>
  </si>
  <si>
    <t>UNETWIL</t>
  </si>
  <si>
    <t>FHL</t>
  </si>
  <si>
    <t>UNISFHL</t>
  </si>
  <si>
    <t>OWH</t>
  </si>
  <si>
    <t>UNISOWH</t>
  </si>
  <si>
    <t>RDF</t>
  </si>
  <si>
    <t>UNISRDF</t>
  </si>
  <si>
    <t>ROT</t>
  </si>
  <si>
    <t>UNISROT</t>
  </si>
  <si>
    <t>TRK</t>
  </si>
  <si>
    <t>UNISTRK</t>
  </si>
  <si>
    <t>UNISWRK</t>
  </si>
  <si>
    <t>WTU</t>
  </si>
  <si>
    <t>UNISWTU</t>
  </si>
  <si>
    <t>ALB</t>
  </si>
  <si>
    <t>VECTALB</t>
  </si>
  <si>
    <t>HEN</t>
  </si>
  <si>
    <t>VECTHEN</t>
  </si>
  <si>
    <t>HEP</t>
  </si>
  <si>
    <t>VECTHEP</t>
  </si>
  <si>
    <t>HOB</t>
  </si>
  <si>
    <t>VECTHOB</t>
  </si>
  <si>
    <t>LFD</t>
  </si>
  <si>
    <t>VECTLFD</t>
  </si>
  <si>
    <t>MNG</t>
  </si>
  <si>
    <t>VECTMNG</t>
  </si>
  <si>
    <t>VECTOTA</t>
  </si>
  <si>
    <t>PAK</t>
  </si>
  <si>
    <t>VECTPAK</t>
  </si>
  <si>
    <t>VECTPEN</t>
  </si>
  <si>
    <t>ROS</t>
  </si>
  <si>
    <t>VECTROS</t>
  </si>
  <si>
    <t>SVL</t>
  </si>
  <si>
    <t>VECTSVL</t>
  </si>
  <si>
    <t>TAK</t>
  </si>
  <si>
    <t>VECTTAK</t>
  </si>
  <si>
    <t>WEL</t>
  </si>
  <si>
    <t>VECTWEL</t>
  </si>
  <si>
    <t>WIR</t>
  </si>
  <si>
    <t>VECTWIR</t>
  </si>
  <si>
    <t>WRD</t>
  </si>
  <si>
    <t>VECTWRD</t>
  </si>
  <si>
    <t>CBG</t>
  </si>
  <si>
    <t>WAIPCBG</t>
  </si>
  <si>
    <t>TMU</t>
  </si>
  <si>
    <t>WAIPTMU</t>
  </si>
  <si>
    <t>BPT</t>
  </si>
  <si>
    <t>WATABPT</t>
  </si>
  <si>
    <t>OAM</t>
  </si>
  <si>
    <t>WATAOAM</t>
  </si>
  <si>
    <t>WATATWZ</t>
  </si>
  <si>
    <t>WATAWTK</t>
  </si>
  <si>
    <t>WAV1WVY</t>
  </si>
  <si>
    <t>WELEHAM</t>
  </si>
  <si>
    <t>WELEHLY</t>
  </si>
  <si>
    <t>MER</t>
  </si>
  <si>
    <t>WELEMER</t>
  </si>
  <si>
    <t>TWH</t>
  </si>
  <si>
    <t>WELETWH</t>
  </si>
  <si>
    <t>WNSTTNG</t>
  </si>
  <si>
    <t>ATU</t>
  </si>
  <si>
    <t>WPOWATU</t>
  </si>
  <si>
    <t>DOB</t>
  </si>
  <si>
    <t>WPOWDOB</t>
  </si>
  <si>
    <t>GYM</t>
  </si>
  <si>
    <t>WPOWGYM</t>
  </si>
  <si>
    <t>HKK</t>
  </si>
  <si>
    <t>WPOWHKK</t>
  </si>
  <si>
    <t>KUM</t>
  </si>
  <si>
    <t>WPOWKUM</t>
  </si>
  <si>
    <t>OTI</t>
  </si>
  <si>
    <t>WPOWOTI</t>
  </si>
  <si>
    <t>RFN</t>
  </si>
  <si>
    <t>WPOWRFN</t>
  </si>
  <si>
    <t>HTI</t>
  </si>
  <si>
    <t>WTOMHTI</t>
  </si>
  <si>
    <t>NPK</t>
  </si>
  <si>
    <t>WTOMNPK</t>
  </si>
  <si>
    <t>WTOMOKN</t>
  </si>
  <si>
    <t>ONG</t>
  </si>
  <si>
    <t>WTOMONG</t>
  </si>
  <si>
    <t>WTOMTNG</t>
  </si>
  <si>
    <t>WTOMTKU</t>
  </si>
  <si>
    <t>Aggregation to customer level (pivot table)</t>
  </si>
  <si>
    <t>Row Labels</t>
  </si>
  <si>
    <t>Sum of Lagged Annual average Total Gross Energy (LATGE)</t>
  </si>
  <si>
    <t>Outputs</t>
  </si>
  <si>
    <t>Tables for consultation paper</t>
  </si>
  <si>
    <t>Summary by Customer Group</t>
  </si>
  <si>
    <t>2027 - Status Quo</t>
  </si>
  <si>
    <t>2027 - Proposal</t>
  </si>
  <si>
    <t>Status Quo Vs Proposal $</t>
  </si>
  <si>
    <t>2027 - Status Quo vs Proposal %</t>
  </si>
  <si>
    <t>2027
Status Quo</t>
  </si>
  <si>
    <t>2027
Proposal</t>
  </si>
  <si>
    <t>Status Quo Vs Proposal %</t>
  </si>
  <si>
    <t>Post PY22/23 customer (not estimate)</t>
  </si>
  <si>
    <t>Direct connects</t>
  </si>
  <si>
    <t>Calculations  - Part 2</t>
  </si>
  <si>
    <t>Inputs</t>
  </si>
  <si>
    <t>PY 22/23 indicative pricing</t>
  </si>
  <si>
    <t>PY26/27 estimates based on reconciliation data</t>
  </si>
  <si>
    <t xml:space="preserve">Indicative residual charges in PY26/27 (proposed inplementation year)  under the status quo and the proposal </t>
  </si>
  <si>
    <t>A:B</t>
  </si>
  <si>
    <t>Total</t>
  </si>
  <si>
    <t>Summary of differences</t>
  </si>
  <si>
    <t>Comparison between status quo in PY22/23 &amp; PY26/27 and the proposal</t>
  </si>
  <si>
    <t>2023
Status Quo</t>
  </si>
  <si>
    <t>Balance Check</t>
  </si>
  <si>
    <t>Inputs - Part 2</t>
  </si>
  <si>
    <t>Source: EMI  https://www.emi.ea.govt.nz/Wholesale/Datasets/Volumes/Reconciliation/</t>
  </si>
  <si>
    <t>Proposed implementation pricing year</t>
  </si>
  <si>
    <t xml:space="preserve">Reconciled offtake data </t>
  </si>
  <si>
    <t>Initial match</t>
  </si>
  <si>
    <t>Align reconciliation offtake with transmission customer list included in modelling. Includes manual adjustments</t>
  </si>
  <si>
    <t>2015-2018</t>
  </si>
  <si>
    <t>2016-2019</t>
  </si>
  <si>
    <t>2017-2020</t>
  </si>
  <si>
    <t>2018-2021</t>
  </si>
  <si>
    <t>2019-2022</t>
  </si>
  <si>
    <t>NetworkCode</t>
  </si>
  <si>
    <t>NetworkName</t>
  </si>
  <si>
    <t>2015 Load (GWh)</t>
  </si>
  <si>
    <t>2016 Load (GWh)</t>
  </si>
  <si>
    <t>2017 Load (GWh)</t>
  </si>
  <si>
    <t>2018 Load (GWh)</t>
  </si>
  <si>
    <t>2019 Load (GWh)</t>
  </si>
  <si>
    <t>2020 Load (GWh)</t>
  </si>
  <si>
    <t>2021 Load (GWh)</t>
  </si>
  <si>
    <t>2022 Load (GWh)</t>
  </si>
  <si>
    <t>Type</t>
  </si>
  <si>
    <t xml:space="preserve">Changes </t>
  </si>
  <si>
    <t>PY22/23</t>
  </si>
  <si>
    <t>PY23/24</t>
  </si>
  <si>
    <t>PY24/25</t>
  </si>
  <si>
    <t>PY25/26</t>
  </si>
  <si>
    <t>PY26/27</t>
  </si>
  <si>
    <t>Alpine Energy</t>
  </si>
  <si>
    <t>BOPD</t>
  </si>
  <si>
    <t>Bay of Plenty Energy</t>
  </si>
  <si>
    <t>NA</t>
  </si>
  <si>
    <t>Retailer</t>
  </si>
  <si>
    <t>Buller Electricity</t>
  </si>
  <si>
    <t>Centralines</t>
  </si>
  <si>
    <t>CKHK</t>
  </si>
  <si>
    <t>Wellington Electricity</t>
  </si>
  <si>
    <t>CNIR</t>
  </si>
  <si>
    <t>Manawa Energy</t>
  </si>
  <si>
    <t>Counties Power</t>
  </si>
  <si>
    <t>Contact Energy</t>
  </si>
  <si>
    <t>Aurora Energy</t>
  </si>
  <si>
    <t>Electricity Ashburton</t>
  </si>
  <si>
    <t>Eastland Network</t>
  </si>
  <si>
    <t>Adjusted to include Firstlight</t>
  </si>
  <si>
    <t>Firstlight Network</t>
  </si>
  <si>
    <t>ELEC</t>
  </si>
  <si>
    <t>Electra</t>
  </si>
  <si>
    <t>ELIN</t>
  </si>
  <si>
    <t>Electricity Invercargill</t>
  </si>
  <si>
    <t>Manually entered to capture the two KiwiRails</t>
  </si>
  <si>
    <t>Genesis Energy</t>
  </si>
  <si>
    <t>Manually entered to capture the 3 Mainpowers</t>
  </si>
  <si>
    <t>HAWK</t>
  </si>
  <si>
    <t>Unison Networks</t>
  </si>
  <si>
    <t>Assumed same load as in PY22/23</t>
  </si>
  <si>
    <t>HEDL</t>
  </si>
  <si>
    <t>Horizon Energy</t>
  </si>
  <si>
    <t>KAPE</t>
  </si>
  <si>
    <t>Kapuni Energy</t>
  </si>
  <si>
    <t>`</t>
  </si>
  <si>
    <t>Manually zeroed out</t>
  </si>
  <si>
    <t>KING</t>
  </si>
  <si>
    <t>King Country Energy</t>
  </si>
  <si>
    <t>KRGL</t>
  </si>
  <si>
    <t>Kawerau Geothermal</t>
  </si>
  <si>
    <t>Manually entered to capture the two Mercurys</t>
  </si>
  <si>
    <t>Kupe Gas Field</t>
  </si>
  <si>
    <t>LINE</t>
  </si>
  <si>
    <t>The Lines Company</t>
  </si>
  <si>
    <t>LLNW</t>
  </si>
  <si>
    <t>Lakeland Network</t>
  </si>
  <si>
    <t>Embedded generator</t>
  </si>
  <si>
    <t>Marlborough Lines</t>
  </si>
  <si>
    <t>Meridian Energy</t>
  </si>
  <si>
    <t>Methanex</t>
  </si>
  <si>
    <t>MPAS</t>
  </si>
  <si>
    <t>MainPower</t>
  </si>
  <si>
    <t>MainPower New Zealand Limited (Grid Owner)</t>
  </si>
  <si>
    <t>MainPower NZ</t>
  </si>
  <si>
    <t>Mercury</t>
  </si>
  <si>
    <t>Mercury NZ</t>
  </si>
  <si>
    <t>Combined Nova and BOP Energy - TOC (tbc)</t>
  </si>
  <si>
    <t>NAPJ</t>
  </si>
  <si>
    <t>Nga Awa Purua JV</t>
  </si>
  <si>
    <t>Nelson Electricity</t>
  </si>
  <si>
    <t>Not a customer in PY22/23, manually zeroed out PY26/27</t>
  </si>
  <si>
    <t>Northpower</t>
  </si>
  <si>
    <t>NZ Aluminium Smelters</t>
  </si>
  <si>
    <t>NZRN</t>
  </si>
  <si>
    <t>KiwiRail</t>
  </si>
  <si>
    <t>New Zealand Rail</t>
  </si>
  <si>
    <t>New Zealand Steel</t>
  </si>
  <si>
    <t>OMV New Zealand Production</t>
  </si>
  <si>
    <t>OMV New Zealand Production Ltd</t>
  </si>
  <si>
    <t>OMV New Zealand Production Limited</t>
  </si>
  <si>
    <t>Orion New Zealand</t>
  </si>
  <si>
    <t>OTPO</t>
  </si>
  <si>
    <t>OtagoNet JV</t>
  </si>
  <si>
    <t>Pan Pac Forest Products</t>
  </si>
  <si>
    <t>Pan Pacific Forest Industries</t>
  </si>
  <si>
    <t>Powerco</t>
  </si>
  <si>
    <t>PTNP</t>
  </si>
  <si>
    <t>Port Taranaki</t>
  </si>
  <si>
    <t>No longer a customer</t>
  </si>
  <si>
    <t>Rayonier</t>
  </si>
  <si>
    <t>Scanpower</t>
  </si>
  <si>
    <t>Southpark Utilities</t>
  </si>
  <si>
    <t>Solid Energy</t>
  </si>
  <si>
    <t>Network Tasman</t>
  </si>
  <si>
    <t xml:space="preserve">We have assumed customers that connected after PY22/23 receive no allocation of charges. </t>
  </si>
  <si>
    <t>TGTL</t>
  </si>
  <si>
    <t>Todd Generation Taranaki</t>
  </si>
  <si>
    <t>TODD</t>
  </si>
  <si>
    <t>Nova Energy</t>
  </si>
  <si>
    <t>Top Energy</t>
  </si>
  <si>
    <t>TPCO</t>
  </si>
  <si>
    <t>The Power Company</t>
  </si>
  <si>
    <t>TRPG</t>
  </si>
  <si>
    <t>Trustpower Limited</t>
  </si>
  <si>
    <t>TrustPower</t>
  </si>
  <si>
    <t>TRUS</t>
  </si>
  <si>
    <t>TUAR</t>
  </si>
  <si>
    <t>Tuaropaki Power</t>
  </si>
  <si>
    <t>Generator (but different Transpower customer name</t>
  </si>
  <si>
    <t>United Networks</t>
  </si>
  <si>
    <t>Vector</t>
  </si>
  <si>
    <t>WAIK</t>
  </si>
  <si>
    <t>WEL Networks</t>
  </si>
  <si>
    <t>Waipa Networks</t>
  </si>
  <si>
    <t>Network Waitaki</t>
  </si>
  <si>
    <t>Westpower</t>
  </si>
  <si>
    <t>WPWF</t>
  </si>
  <si>
    <t>Waverley Wind Farm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</si>
</sst>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_-;\-* #,##0_-;_-* &quot;-&quot;??_-;_-@_-"/>
    <numFmt numFmtId="165" formatCode="_-* #,##0.0_-;\-* #,##0.0_-;_-* &quot;-&quot;??_-;_-@_-"/>
    <numFmt numFmtId="166" formatCode="_-* #,##0.0_-;\(#,##0.0\)_-;_-* &quot;-&quot;_-;_-@_-"/>
    <numFmt numFmtId="167" formatCode="0.0"/>
    <numFmt numFmtId="168" formatCode="_-* #,##0_-;\(#,##0\)_-;_-* &quot;-&quot;_-;_-@_-"/>
    <numFmt numFmtId="169" formatCode="_-* #,##0.0000000_-;\-* #,##0.0000000_-;_-* &quot;-&quot;??_-;_-@_-"/>
    <numFmt numFmtId="170" formatCode="0.000%"/>
    <numFmt numFmtId="171" formatCode="0.0000000000"/>
    <numFmt numFmtId="172" formatCode="_(* #,##0_);_(* \(#,##0\);_(* &quot;-&quot;??_);_(@_)"/>
    <numFmt numFmtId="173" formatCode="0.0%"/>
    <numFmt numFmtId="174" formatCode="_-* #,##0.000_-;\-* #,##0.000_-;_-* &quot;-&quot;??_-;_-@_-"/>
    <numFmt numFmtId="175" formatCode="_-* #,##0.000_-;\(#,##0.000\)_-;_-* &quot;-&quot;_-;_-@_-"/>
    <numFmt numFmtId="176" formatCode="0.0000"/>
  </numFmts>
  <fonts count="32" x14ac:knownFonts="1">
    <font>
      <sz val="11"/>
      <color theme="1"/>
      <name val="Arial"/>
      <family val="2"/>
      <scheme val="minor"/>
    </font>
    <font>
      <sz val="11"/>
      <color theme="1"/>
      <name val="Arial"/>
      <family val="2"/>
      <scheme val="minor"/>
    </font>
    <font>
      <b/>
      <sz val="11"/>
      <color theme="1"/>
      <name val="Arial"/>
      <family val="2"/>
      <scheme val="minor"/>
    </font>
    <font>
      <b/>
      <sz val="11"/>
      <color theme="3"/>
      <name val="Arial"/>
      <family val="2"/>
      <scheme val="minor"/>
    </font>
    <font>
      <sz val="16"/>
      <color rgb="FF006553"/>
      <name val="Arial"/>
      <family val="2"/>
      <scheme val="minor"/>
    </font>
    <font>
      <sz val="22"/>
      <color rgb="FF587987"/>
      <name val="Arial"/>
      <family val="2"/>
      <scheme val="minor"/>
    </font>
    <font>
      <sz val="12"/>
      <color rgb="FF006553"/>
      <name val="Arial"/>
      <family val="2"/>
      <scheme val="minor"/>
    </font>
    <font>
      <sz val="11"/>
      <color theme="1"/>
      <name val="Calibri"/>
      <family val="2"/>
    </font>
    <font>
      <b/>
      <sz val="20"/>
      <color theme="1"/>
      <name val="Arial"/>
      <family val="2"/>
      <scheme val="minor"/>
    </font>
    <font>
      <sz val="11"/>
      <color rgb="FFFF0000"/>
      <name val="Arial"/>
      <family val="2"/>
      <scheme val="minor"/>
    </font>
    <font>
      <sz val="11"/>
      <color theme="9" tint="-0.499984740745262"/>
      <name val="Arial"/>
      <family val="2"/>
      <scheme val="minor"/>
    </font>
    <font>
      <i/>
      <sz val="11"/>
      <color theme="0" tint="-0.499984740745262"/>
      <name val="Arial"/>
      <family val="2"/>
      <scheme val="minor"/>
    </font>
    <font>
      <b/>
      <sz val="11"/>
      <color theme="4" tint="-0.249977111117893"/>
      <name val="Arial"/>
      <family val="2"/>
      <scheme val="minor"/>
    </font>
    <font>
      <sz val="12"/>
      <color theme="1"/>
      <name val="Aptos"/>
      <family val="2"/>
    </font>
    <font>
      <b/>
      <sz val="18"/>
      <color theme="1"/>
      <name val="Arial"/>
      <family val="2"/>
      <scheme val="minor"/>
    </font>
    <font>
      <sz val="18"/>
      <color theme="1"/>
      <name val="Arial"/>
      <family val="2"/>
      <scheme val="minor"/>
    </font>
    <font>
      <b/>
      <sz val="11"/>
      <color rgb="FFFF0000"/>
      <name val="Arial"/>
      <family val="2"/>
      <scheme val="minor"/>
    </font>
    <font>
      <b/>
      <sz val="16"/>
      <color theme="3"/>
      <name val="Arial"/>
      <family val="2"/>
      <scheme val="minor"/>
    </font>
    <font>
      <b/>
      <sz val="11"/>
      <color theme="0"/>
      <name val="Arial"/>
      <family val="2"/>
      <scheme val="minor"/>
    </font>
    <font>
      <b/>
      <sz val="11"/>
      <color theme="4"/>
      <name val="Arial"/>
      <family val="2"/>
      <scheme val="minor"/>
    </font>
    <font>
      <b/>
      <sz val="14"/>
      <color theme="1"/>
      <name val="Arial"/>
      <family val="2"/>
      <scheme val="minor"/>
    </font>
    <font>
      <b/>
      <sz val="12"/>
      <color theme="1"/>
      <name val="Arial"/>
      <family val="2"/>
      <scheme val="minor"/>
    </font>
    <font>
      <sz val="11"/>
      <color theme="0"/>
      <name val="Arial"/>
      <family val="2"/>
      <scheme val="minor"/>
    </font>
    <font>
      <sz val="11"/>
      <color rgb="FF000000"/>
      <name val="Arial"/>
      <family val="2"/>
    </font>
    <font>
      <sz val="18"/>
      <color theme="0"/>
      <name val="Arial"/>
      <family val="2"/>
      <scheme val="minor"/>
    </font>
    <font>
      <b/>
      <sz val="11"/>
      <color rgb="FF000000"/>
      <name val="Arial"/>
      <family val="2"/>
    </font>
    <font>
      <sz val="16"/>
      <color theme="8" tint="-0.749992370372631"/>
      <name val="Arial"/>
      <family val="2"/>
      <scheme val="minor"/>
    </font>
    <font>
      <b/>
      <sz val="22"/>
      <color theme="8" tint="-0.749992370372631"/>
      <name val="Arial"/>
      <family val="2"/>
      <scheme val="minor"/>
    </font>
    <font>
      <sz val="11"/>
      <color theme="8" tint="-0.749992370372631"/>
      <name val="Arial"/>
      <family val="2"/>
      <scheme val="minor"/>
    </font>
    <font>
      <b/>
      <sz val="12"/>
      <color theme="8" tint="-0.749992370372631"/>
      <name val="Arial"/>
      <family val="2"/>
      <scheme val="minor"/>
    </font>
    <font>
      <b/>
      <sz val="20"/>
      <color theme="8" tint="-0.749992370372631"/>
      <name val="Arial"/>
      <family val="2"/>
      <scheme val="minor"/>
    </font>
    <font>
      <i/>
      <sz val="11"/>
      <color theme="8" tint="-0.749992370372631"/>
      <name val="Arial"/>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7"/>
        <bgColor indexed="64"/>
      </patternFill>
    </fill>
    <fill>
      <patternFill patternType="solid">
        <fgColor theme="0" tint="-4.9989318521683403E-2"/>
        <bgColor indexed="64"/>
      </patternFill>
    </fill>
  </fills>
  <borders count="11">
    <border>
      <left/>
      <right/>
      <top/>
      <bottom/>
      <diagonal/>
    </border>
    <border>
      <left/>
      <right/>
      <top style="thin">
        <color theme="0" tint="-0.14996795556505021"/>
      </top>
      <bottom style="thin">
        <color theme="0" tint="-0.1499679555650502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rgb="FF7F7F7F"/>
      </left>
      <right style="thin">
        <color rgb="FF7F7F7F"/>
      </right>
      <top style="thin">
        <color rgb="FF7F7F7F"/>
      </top>
      <bottom style="thin">
        <color indexed="64"/>
      </bottom>
      <diagonal/>
    </border>
    <border>
      <left style="thin">
        <color theme="0" tint="-0.14993743705557422"/>
      </left>
      <right/>
      <top style="thin">
        <color theme="0" tint="-0.14996795556505021"/>
      </top>
      <bottom/>
      <diagonal/>
    </border>
    <border>
      <left style="thin">
        <color theme="0" tint="-0.14993743705557422"/>
      </left>
      <right/>
      <top/>
      <bottom/>
      <diagonal/>
    </border>
    <border>
      <left/>
      <right/>
      <top/>
      <bottom style="thin">
        <color theme="0" tint="-0.14996795556505021"/>
      </bottom>
      <diagonal/>
    </border>
    <border>
      <left/>
      <right/>
      <top style="thin">
        <color rgb="FF7F7F7F"/>
      </top>
      <bottom/>
      <diagonal/>
    </border>
    <border>
      <left/>
      <right style="thin">
        <color theme="0" tint="-0.14993743705557422"/>
      </right>
      <top style="thin">
        <color theme="0" tint="-0.14996795556505021"/>
      </top>
      <bottom style="thin">
        <color theme="0" tint="-0.1499679555650502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3" fillId="0" borderId="2" applyNumberFormat="0" applyFill="0" applyAlignment="0" applyProtection="0"/>
    <xf numFmtId="0" fontId="7" fillId="0" borderId="0"/>
  </cellStyleXfs>
  <cellXfs count="127">
    <xf numFmtId="0" fontId="0" fillId="0" borderId="0" xfId="0"/>
    <xf numFmtId="164" fontId="0" fillId="0" borderId="0" xfId="1" applyNumberFormat="1" applyFont="1"/>
    <xf numFmtId="164" fontId="0" fillId="0" borderId="0" xfId="0" applyNumberFormat="1"/>
    <xf numFmtId="0" fontId="0" fillId="0" borderId="0" xfId="0" pivotButton="1"/>
    <xf numFmtId="0" fontId="2" fillId="0" borderId="0" xfId="0" applyFont="1"/>
    <xf numFmtId="0" fontId="0" fillId="0" borderId="1" xfId="0" applyBorder="1"/>
    <xf numFmtId="0" fontId="2" fillId="2" borderId="0" xfId="0" applyFont="1" applyFill="1"/>
    <xf numFmtId="0" fontId="0" fillId="3" borderId="0" xfId="0" applyFill="1"/>
    <xf numFmtId="0" fontId="2" fillId="3" borderId="0" xfId="0" applyFont="1" applyFill="1"/>
    <xf numFmtId="0" fontId="4" fillId="3" borderId="0" xfId="0" applyFont="1" applyFill="1" applyAlignment="1">
      <alignment vertical="top"/>
    </xf>
    <xf numFmtId="0" fontId="5" fillId="3" borderId="0" xfId="0" quotePrefix="1" applyFont="1" applyFill="1" applyAlignment="1">
      <alignment vertical="top"/>
    </xf>
    <xf numFmtId="0" fontId="6" fillId="3" borderId="0" xfId="0" applyFont="1" applyFill="1" applyAlignment="1">
      <alignment vertical="top"/>
    </xf>
    <xf numFmtId="0" fontId="8" fillId="0" borderId="0" xfId="0" applyFont="1"/>
    <xf numFmtId="164" fontId="0" fillId="0" borderId="1" xfId="0" applyNumberFormat="1" applyBorder="1"/>
    <xf numFmtId="0" fontId="0" fillId="0" borderId="1" xfId="0" applyBorder="1" applyAlignment="1">
      <alignment horizontal="left"/>
    </xf>
    <xf numFmtId="0" fontId="11" fillId="3" borderId="0" xfId="0" applyFont="1" applyFill="1" applyAlignment="1">
      <alignment horizontal="right"/>
    </xf>
    <xf numFmtId="0" fontId="0" fillId="3" borderId="4" xfId="0" applyFill="1" applyBorder="1"/>
    <xf numFmtId="168" fontId="10" fillId="4" borderId="5" xfId="3" applyNumberFormat="1" applyFont="1" applyFill="1" applyBorder="1"/>
    <xf numFmtId="164" fontId="0" fillId="4" borderId="1" xfId="1" applyNumberFormat="1" applyFont="1" applyFill="1" applyBorder="1"/>
    <xf numFmtId="0" fontId="9" fillId="0" borderId="0" xfId="0" applyFont="1"/>
    <xf numFmtId="0" fontId="2" fillId="5" borderId="0" xfId="0" applyFont="1" applyFill="1" applyAlignment="1">
      <alignment vertical="top"/>
    </xf>
    <xf numFmtId="0" fontId="2" fillId="5" borderId="0" xfId="0" applyFont="1" applyFill="1" applyAlignment="1">
      <alignment vertical="top" wrapText="1"/>
    </xf>
    <xf numFmtId="0" fontId="13" fillId="0" borderId="0" xfId="0" applyFont="1"/>
    <xf numFmtId="164" fontId="0" fillId="0" borderId="1" xfId="1" applyNumberFormat="1" applyFont="1" applyBorder="1"/>
    <xf numFmtId="43" fontId="0" fillId="0" borderId="1" xfId="0" applyNumberFormat="1" applyBorder="1"/>
    <xf numFmtId="164" fontId="0" fillId="0" borderId="1" xfId="0" applyNumberFormat="1" applyBorder="1" applyAlignment="1">
      <alignment horizontal="right"/>
    </xf>
    <xf numFmtId="0" fontId="0" fillId="0" borderId="1" xfId="0" applyBorder="1" applyAlignment="1">
      <alignment vertical="top" wrapText="1"/>
    </xf>
    <xf numFmtId="169" fontId="0" fillId="0" borderId="1" xfId="0" applyNumberFormat="1" applyBorder="1" applyAlignment="1">
      <alignment horizontal="left"/>
    </xf>
    <xf numFmtId="0" fontId="14" fillId="0" borderId="0" xfId="0" applyFont="1"/>
    <xf numFmtId="170" fontId="0" fillId="0" borderId="1" xfId="2" applyNumberFormat="1" applyFont="1" applyBorder="1"/>
    <xf numFmtId="43" fontId="9" fillId="0" borderId="1" xfId="0" applyNumberFormat="1" applyFont="1" applyBorder="1"/>
    <xf numFmtId="164" fontId="0" fillId="0" borderId="0" xfId="1" applyNumberFormat="1" applyFont="1" applyFill="1"/>
    <xf numFmtId="164" fontId="0" fillId="0" borderId="1" xfId="1" applyNumberFormat="1" applyFont="1" applyFill="1" applyBorder="1"/>
    <xf numFmtId="0" fontId="8" fillId="0" borderId="0" xfId="0" applyFont="1" applyAlignment="1">
      <alignment vertical="top"/>
    </xf>
    <xf numFmtId="0" fontId="0" fillId="2" borderId="0" xfId="0" applyFill="1"/>
    <xf numFmtId="0" fontId="15" fillId="2" borderId="0" xfId="0" applyFont="1" applyFill="1"/>
    <xf numFmtId="0" fontId="14" fillId="2" borderId="1" xfId="0" applyFont="1" applyFill="1" applyBorder="1" applyAlignment="1">
      <alignment vertical="top"/>
    </xf>
    <xf numFmtId="0" fontId="2" fillId="0" borderId="1" xfId="0" applyFont="1" applyBorder="1"/>
    <xf numFmtId="164" fontId="0" fillId="0" borderId="6" xfId="0" applyNumberFormat="1" applyBorder="1"/>
    <xf numFmtId="164" fontId="0" fillId="0" borderId="7" xfId="0" applyNumberFormat="1" applyBorder="1"/>
    <xf numFmtId="164" fontId="2" fillId="0" borderId="1" xfId="0" applyNumberFormat="1" applyFont="1" applyBorder="1"/>
    <xf numFmtId="0" fontId="2" fillId="6" borderId="1" xfId="0" applyFont="1" applyFill="1" applyBorder="1"/>
    <xf numFmtId="164" fontId="2" fillId="6" borderId="1" xfId="0" applyNumberFormat="1" applyFont="1" applyFill="1" applyBorder="1"/>
    <xf numFmtId="0" fontId="2" fillId="5" borderId="0" xfId="0" applyFont="1" applyFill="1"/>
    <xf numFmtId="0" fontId="0" fillId="0" borderId="1" xfId="0" applyBorder="1" applyAlignment="1">
      <alignment horizontal="left" indent="1"/>
    </xf>
    <xf numFmtId="170" fontId="0" fillId="0" borderId="1" xfId="2" applyNumberFormat="1" applyFont="1" applyBorder="1" applyAlignment="1">
      <alignment horizontal="right"/>
    </xf>
    <xf numFmtId="171" fontId="0" fillId="0" borderId="0" xfId="0" applyNumberFormat="1"/>
    <xf numFmtId="0" fontId="17" fillId="0" borderId="0" xfId="0" applyFont="1"/>
    <xf numFmtId="164" fontId="1" fillId="0" borderId="1" xfId="1" applyNumberFormat="1" applyFont="1" applyBorder="1"/>
    <xf numFmtId="0" fontId="2" fillId="2" borderId="0" xfId="0" applyFont="1" applyFill="1" applyAlignment="1">
      <alignment wrapText="1"/>
    </xf>
    <xf numFmtId="43" fontId="0" fillId="0" borderId="0" xfId="1" applyFont="1"/>
    <xf numFmtId="167" fontId="0" fillId="0" borderId="1" xfId="0" applyNumberFormat="1" applyBorder="1"/>
    <xf numFmtId="172" fontId="0" fillId="0" borderId="0" xfId="0" applyNumberFormat="1"/>
    <xf numFmtId="172" fontId="2" fillId="0" borderId="0" xfId="0" applyNumberFormat="1" applyFont="1"/>
    <xf numFmtId="0" fontId="16" fillId="0" borderId="0" xfId="0" applyFont="1" applyAlignment="1">
      <alignment horizontal="left"/>
    </xf>
    <xf numFmtId="172" fontId="2" fillId="0" borderId="1" xfId="0" applyNumberFormat="1" applyFont="1" applyBorder="1"/>
    <xf numFmtId="0" fontId="19" fillId="0" borderId="0" xfId="0" applyFont="1" applyAlignment="1">
      <alignment wrapText="1"/>
    </xf>
    <xf numFmtId="0" fontId="2" fillId="5" borderId="0" xfId="0" applyFont="1" applyFill="1" applyAlignment="1">
      <alignment horizontal="right" wrapText="1"/>
    </xf>
    <xf numFmtId="0" fontId="20" fillId="2" borderId="1" xfId="0" applyFont="1" applyFill="1" applyBorder="1" applyAlignment="1">
      <alignment vertical="top"/>
    </xf>
    <xf numFmtId="0" fontId="2" fillId="0" borderId="0" xfId="0" applyFont="1" applyAlignment="1">
      <alignment horizontal="right" wrapText="1"/>
    </xf>
    <xf numFmtId="43" fontId="0" fillId="0" borderId="1" xfId="0" applyNumberFormat="1" applyBorder="1" applyAlignment="1">
      <alignment horizontal="right"/>
    </xf>
    <xf numFmtId="174" fontId="0" fillId="0" borderId="1" xfId="0" applyNumberFormat="1" applyBorder="1" applyAlignment="1">
      <alignment horizontal="right"/>
    </xf>
    <xf numFmtId="0" fontId="2" fillId="5" borderId="0" xfId="0" applyFont="1" applyFill="1" applyAlignment="1">
      <alignment horizontal="right" vertical="top" wrapText="1"/>
    </xf>
    <xf numFmtId="0" fontId="0" fillId="0" borderId="0" xfId="0" applyAlignment="1">
      <alignment horizontal="right"/>
    </xf>
    <xf numFmtId="175" fontId="10" fillId="4" borderId="3" xfId="3" applyNumberFormat="1" applyFont="1" applyFill="1" applyBorder="1"/>
    <xf numFmtId="0" fontId="0" fillId="0" borderId="1" xfId="0" applyBorder="1" applyAlignment="1">
      <alignment horizontal="right"/>
    </xf>
    <xf numFmtId="2" fontId="0" fillId="0" borderId="1" xfId="0" applyNumberFormat="1" applyBorder="1"/>
    <xf numFmtId="176" fontId="0" fillId="0" borderId="1" xfId="0" applyNumberFormat="1" applyBorder="1"/>
    <xf numFmtId="175" fontId="12" fillId="3" borderId="3" xfId="3" applyNumberFormat="1" applyFont="1" applyFill="1" applyBorder="1"/>
    <xf numFmtId="43" fontId="0" fillId="0" borderId="1" xfId="1" applyFont="1" applyBorder="1" applyAlignment="1">
      <alignment horizontal="right"/>
    </xf>
    <xf numFmtId="173" fontId="0" fillId="0" borderId="0" xfId="2" applyNumberFormat="1" applyFont="1"/>
    <xf numFmtId="0" fontId="2" fillId="2" borderId="1" xfId="0" applyFont="1" applyFill="1" applyBorder="1" applyAlignment="1">
      <alignment horizontal="right" vertical="top" wrapText="1"/>
    </xf>
    <xf numFmtId="172" fontId="0" fillId="0" borderId="4" xfId="0" applyNumberFormat="1" applyBorder="1"/>
    <xf numFmtId="173" fontId="2" fillId="0" borderId="0" xfId="2" applyNumberFormat="1" applyFont="1"/>
    <xf numFmtId="10" fontId="0" fillId="0" borderId="0" xfId="2" applyNumberFormat="1" applyFont="1"/>
    <xf numFmtId="10" fontId="2" fillId="0" borderId="0" xfId="2" applyNumberFormat="1" applyFont="1"/>
    <xf numFmtId="0" fontId="23" fillId="0" borderId="0" xfId="0" applyFont="1" applyAlignment="1">
      <alignment horizontal="left" vertical="center" indent="1"/>
    </xf>
    <xf numFmtId="0" fontId="23" fillId="0" borderId="0" xfId="0" quotePrefix="1" applyFont="1" applyAlignment="1">
      <alignment horizontal="left" vertical="center" indent="2"/>
    </xf>
    <xf numFmtId="0" fontId="0" fillId="0" borderId="0" xfId="0" quotePrefix="1"/>
    <xf numFmtId="0" fontId="2" fillId="5" borderId="0" xfId="0" applyFont="1" applyFill="1" applyAlignment="1">
      <alignment horizontal="centerContinuous" vertical="distributed"/>
    </xf>
    <xf numFmtId="165" fontId="0" fillId="0" borderId="1" xfId="1" applyNumberFormat="1" applyFont="1" applyBorder="1"/>
    <xf numFmtId="0" fontId="0" fillId="0" borderId="8" xfId="0" applyBorder="1"/>
    <xf numFmtId="164" fontId="0" fillId="0" borderId="1" xfId="1" applyNumberFormat="1" applyFont="1" applyBorder="1" applyAlignment="1">
      <alignment horizontal="right"/>
    </xf>
    <xf numFmtId="165" fontId="0" fillId="0" borderId="1" xfId="0" applyNumberFormat="1" applyBorder="1" applyAlignment="1">
      <alignment horizontal="right"/>
    </xf>
    <xf numFmtId="174" fontId="0" fillId="0" borderId="1" xfId="0" applyNumberFormat="1" applyBorder="1"/>
    <xf numFmtId="0" fontId="3" fillId="0" borderId="0" xfId="0" applyFont="1" applyAlignment="1">
      <alignment wrapText="1"/>
    </xf>
    <xf numFmtId="0" fontId="2" fillId="0" borderId="0" xfId="0" applyFont="1" applyAlignment="1">
      <alignment horizontal="right" vertical="top" wrapText="1"/>
    </xf>
    <xf numFmtId="0" fontId="22" fillId="0" borderId="1" xfId="0" applyFont="1" applyBorder="1"/>
    <xf numFmtId="164" fontId="22" fillId="0" borderId="1" xfId="1" applyNumberFormat="1" applyFont="1" applyFill="1" applyBorder="1"/>
    <xf numFmtId="0" fontId="18" fillId="0" borderId="0" xfId="0" applyFont="1" applyAlignment="1">
      <alignment vertical="top" wrapText="1"/>
    </xf>
    <xf numFmtId="0" fontId="22" fillId="0" borderId="0" xfId="0" applyFont="1"/>
    <xf numFmtId="0" fontId="24" fillId="0" borderId="0" xfId="0" applyFont="1"/>
    <xf numFmtId="0" fontId="23" fillId="0" borderId="0" xfId="0" quotePrefix="1" applyFont="1" applyAlignment="1">
      <alignment horizontal="left" vertical="center" indent="3"/>
    </xf>
    <xf numFmtId="164" fontId="0" fillId="0" borderId="1" xfId="1" applyNumberFormat="1" applyFont="1" applyBorder="1" applyAlignment="1">
      <alignment wrapText="1"/>
    </xf>
    <xf numFmtId="0" fontId="2" fillId="5" borderId="0" xfId="0" applyFont="1" applyFill="1" applyAlignment="1">
      <alignment wrapText="1"/>
    </xf>
    <xf numFmtId="0" fontId="0" fillId="2" borderId="1" xfId="0" applyFill="1" applyBorder="1"/>
    <xf numFmtId="170" fontId="0" fillId="0" borderId="1" xfId="2" applyNumberFormat="1" applyFont="1" applyFill="1" applyBorder="1" applyAlignment="1">
      <alignment horizontal="right"/>
    </xf>
    <xf numFmtId="43" fontId="0" fillId="0" borderId="0" xfId="1" applyFont="1" applyFill="1"/>
    <xf numFmtId="164" fontId="0" fillId="0" borderId="1" xfId="1" applyNumberFormat="1" applyFont="1" applyBorder="1" applyAlignment="1">
      <alignment horizontal="left"/>
    </xf>
    <xf numFmtId="0" fontId="3" fillId="0" borderId="0" xfId="0" applyFont="1"/>
    <xf numFmtId="172" fontId="0" fillId="0" borderId="1" xfId="0" applyNumberFormat="1" applyBorder="1"/>
    <xf numFmtId="173" fontId="0" fillId="0" borderId="1" xfId="2" applyNumberFormat="1" applyFont="1" applyBorder="1"/>
    <xf numFmtId="173" fontId="0" fillId="0" borderId="1" xfId="2" applyNumberFormat="1" applyFont="1" applyFill="1" applyBorder="1"/>
    <xf numFmtId="0" fontId="21" fillId="2" borderId="0" xfId="0" applyFont="1" applyFill="1" applyAlignment="1">
      <alignment vertical="top" wrapText="1"/>
    </xf>
    <xf numFmtId="0" fontId="2" fillId="2" borderId="0" xfId="0" applyFont="1" applyFill="1" applyAlignment="1">
      <alignment horizontal="right" vertical="top" wrapText="1"/>
    </xf>
    <xf numFmtId="0" fontId="2" fillId="2" borderId="0" xfId="0" applyFont="1" applyFill="1" applyAlignment="1">
      <alignment horizontal="right" vertical="top"/>
    </xf>
    <xf numFmtId="0" fontId="21" fillId="2" borderId="1" xfId="0" applyFont="1" applyFill="1" applyBorder="1" applyAlignment="1">
      <alignment vertical="top"/>
    </xf>
    <xf numFmtId="0" fontId="3" fillId="3" borderId="0" xfId="4" applyFill="1" applyBorder="1"/>
    <xf numFmtId="0" fontId="10" fillId="3" borderId="9" xfId="0" applyFont="1" applyFill="1" applyBorder="1"/>
    <xf numFmtId="164" fontId="1" fillId="0" borderId="0" xfId="1" applyNumberFormat="1" applyFont="1" applyFill="1" applyBorder="1" applyAlignment="1">
      <alignment horizontal="right"/>
    </xf>
    <xf numFmtId="0" fontId="26" fillId="3" borderId="0" xfId="0" applyFont="1" applyFill="1" applyAlignment="1">
      <alignment vertical="top"/>
    </xf>
    <xf numFmtId="0" fontId="29" fillId="3" borderId="0" xfId="0" applyFont="1" applyFill="1" applyAlignment="1">
      <alignment vertical="top"/>
    </xf>
    <xf numFmtId="0" fontId="28" fillId="0" borderId="0" xfId="0" applyFont="1"/>
    <xf numFmtId="0" fontId="27" fillId="0" borderId="0" xfId="0" applyFont="1"/>
    <xf numFmtId="0" fontId="30" fillId="0" borderId="0" xfId="0" applyFont="1"/>
    <xf numFmtId="0" fontId="31" fillId="0" borderId="0" xfId="0" applyFont="1"/>
    <xf numFmtId="0" fontId="25" fillId="0" borderId="0" xfId="0" quotePrefix="1" applyFont="1" applyAlignment="1">
      <alignment horizontal="left" vertical="center" indent="2"/>
    </xf>
    <xf numFmtId="164" fontId="0" fillId="0" borderId="0" xfId="0" applyNumberFormat="1" applyAlignment="1">
      <alignment horizontal="right"/>
    </xf>
    <xf numFmtId="165" fontId="0" fillId="0" borderId="0" xfId="0" applyNumberFormat="1" applyAlignment="1">
      <alignment horizontal="right"/>
    </xf>
    <xf numFmtId="43" fontId="0" fillId="0" borderId="0" xfId="0" applyNumberFormat="1" applyAlignment="1">
      <alignment horizontal="right"/>
    </xf>
    <xf numFmtId="164" fontId="2" fillId="6" borderId="10" xfId="0" applyNumberFormat="1" applyFont="1" applyFill="1" applyBorder="1"/>
    <xf numFmtId="164" fontId="0" fillId="0" borderId="10" xfId="0" applyNumberFormat="1" applyBorder="1"/>
    <xf numFmtId="164" fontId="1" fillId="0" borderId="10" xfId="1" applyNumberFormat="1" applyFont="1" applyBorder="1"/>
    <xf numFmtId="169" fontId="0" fillId="0" borderId="1" xfId="0" applyNumberFormat="1" applyBorder="1"/>
    <xf numFmtId="164" fontId="9" fillId="2" borderId="1" xfId="1" applyNumberFormat="1" applyFont="1" applyFill="1" applyBorder="1"/>
    <xf numFmtId="0" fontId="0" fillId="0" borderId="0" xfId="0" applyAlignment="1">
      <alignment horizontal="centerContinuous"/>
    </xf>
    <xf numFmtId="0" fontId="27" fillId="3" borderId="0" xfId="0" applyFont="1" applyFill="1" applyAlignment="1">
      <alignment horizontal="left" vertical="top" wrapText="1"/>
    </xf>
  </cellXfs>
  <cellStyles count="6">
    <cellStyle name="Comma" xfId="1" builtinId="3"/>
    <cellStyle name="Comma [1]" xfId="3" xr:uid="{49D3AFF2-F82E-400B-9600-D4FF8EC2865B}"/>
    <cellStyle name="Heading 3" xfId="4" builtinId="18"/>
    <cellStyle name="Normal" xfId="0" builtinId="0"/>
    <cellStyle name="Normal 2" xfId="5" xr:uid="{DAB5D9A3-0F6E-4F2B-B0A2-FF10CE3B5A8E}"/>
    <cellStyle name="Percent" xfId="2" builtinId="5"/>
  </cellStyles>
  <dxfs count="5">
    <dxf>
      <border>
        <top style="thin">
          <color theme="0" tint="-0.14996795556505021"/>
        </top>
        <bottom style="thin">
          <color theme="0" tint="-0.14996795556505021"/>
        </bottom>
        <horizontal style="thin">
          <color theme="0" tint="-0.14996795556505021"/>
        </horizontal>
      </border>
    </dxf>
    <dxf>
      <border>
        <top style="thin">
          <color theme="0" tint="-0.14996795556505021"/>
        </top>
        <bottom style="thin">
          <color theme="0" tint="-0.14996795556505021"/>
        </bottom>
        <horizontal style="thin">
          <color theme="0" tint="-0.14996795556505021"/>
        </horizontal>
      </border>
    </dxf>
    <dxf>
      <border>
        <top style="thin">
          <color theme="0" tint="-0.14996795556505021"/>
        </top>
        <bottom style="thin">
          <color theme="0" tint="-0.14996795556505021"/>
        </bottom>
        <horizontal style="thin">
          <color theme="0" tint="-0.14996795556505021"/>
        </horizontal>
      </border>
    </dxf>
    <dxf>
      <border>
        <top style="thin">
          <color theme="0" tint="-0.14996795556505021"/>
        </top>
        <bottom style="thin">
          <color theme="0" tint="-0.14996795556505021"/>
        </bottom>
        <horizontal style="thin">
          <color theme="0" tint="-0.14996795556505021"/>
        </horizontal>
      </border>
    </dxf>
    <dxf>
      <numFmt numFmtId="164"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NZ" sz="1600"/>
              <a:t>Lines Business</a:t>
            </a:r>
            <a:r>
              <a:rPr lang="en-NZ" sz="1600" baseline="0"/>
              <a:t> 2026/27 Status Quo Vs Proposal</a:t>
            </a:r>
            <a:endParaRPr lang="en-NZ"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'Outputs - Part 2'!$F$14</c:f>
              <c:strCache>
                <c:ptCount val="1"/>
                <c:pt idx="0">
                  <c:v>Status Quo Vs Proposal $</c:v>
                </c:pt>
              </c:strCache>
            </c:strRef>
          </c:tx>
          <c:spPr>
            <a:solidFill>
              <a:schemeClr val="accent1"/>
            </a:solidFill>
            <a:ln>
              <a:noFill/>
            </a:ln>
            <a:effectLst/>
          </c:spPr>
          <c:invertIfNegative val="0"/>
          <c:cat>
            <c:strRef>
              <c:f>'Outputs - Part 2'!$B$15:$B$41</c:f>
              <c:strCache>
                <c:ptCount val="27"/>
                <c:pt idx="0">
                  <c:v>Orion New Zealand Limited</c:v>
                </c:pt>
                <c:pt idx="1">
                  <c:v>Electra Limited</c:v>
                </c:pt>
                <c:pt idx="2">
                  <c:v>Network Waitaki Limited</c:v>
                </c:pt>
                <c:pt idx="3">
                  <c:v>Counties Energy Ltd</c:v>
                </c:pt>
                <c:pt idx="4">
                  <c:v>EA Networks</c:v>
                </c:pt>
                <c:pt idx="5">
                  <c:v>Buller Electricity Ltd</c:v>
                </c:pt>
                <c:pt idx="6">
                  <c:v>Nelson Electricity Ltd</c:v>
                </c:pt>
                <c:pt idx="7">
                  <c:v>Scanpower Limited</c:v>
                </c:pt>
                <c:pt idx="8">
                  <c:v>Westpower Limited</c:v>
                </c:pt>
                <c:pt idx="9">
                  <c:v>The Lines Company Ltd</c:v>
                </c:pt>
                <c:pt idx="10">
                  <c:v>Centralines Limited</c:v>
                </c:pt>
                <c:pt idx="11">
                  <c:v>Firstlight Network Limited</c:v>
                </c:pt>
                <c:pt idx="12">
                  <c:v>Top Energy Ltd</c:v>
                </c:pt>
                <c:pt idx="13">
                  <c:v>Mainpower New Zealand Limited</c:v>
                </c:pt>
                <c:pt idx="14">
                  <c:v>Horizon Energy Distribution Ltd</c:v>
                </c:pt>
                <c:pt idx="15">
                  <c:v>Unison Networks Limited</c:v>
                </c:pt>
                <c:pt idx="16">
                  <c:v>Northpower Limited</c:v>
                </c:pt>
                <c:pt idx="17">
                  <c:v>Marlborough Lines Limited</c:v>
                </c:pt>
                <c:pt idx="18">
                  <c:v>Aurora Energy Limited</c:v>
                </c:pt>
                <c:pt idx="19">
                  <c:v>Network Tasman Limited</c:v>
                </c:pt>
                <c:pt idx="20">
                  <c:v>Alpine Energy Ltd</c:v>
                </c:pt>
                <c:pt idx="21">
                  <c:v>Waipa Networks Limited</c:v>
                </c:pt>
                <c:pt idx="22">
                  <c:v>WEL Networks Limited</c:v>
                </c:pt>
                <c:pt idx="23">
                  <c:v>Wellington Electricity Lines Limited</c:v>
                </c:pt>
                <c:pt idx="24">
                  <c:v>Powernet Ltd</c:v>
                </c:pt>
                <c:pt idx="25">
                  <c:v>Powerco Limited</c:v>
                </c:pt>
                <c:pt idx="26">
                  <c:v>Vector Limited</c:v>
                </c:pt>
              </c:strCache>
            </c:strRef>
          </c:cat>
          <c:val>
            <c:numRef>
              <c:f>'Outputs - Part 2'!$F$15:$F$41</c:f>
              <c:numCache>
                <c:formatCode>_(* #,##0_);_(* \(#,##0\);_(* "-"??_);_(@_)</c:formatCode>
                <c:ptCount val="27"/>
                <c:pt idx="0">
                  <c:v>-86254.076044164598</c:v>
                </c:pt>
                <c:pt idx="1">
                  <c:v>-29710.396559115499</c:v>
                </c:pt>
                <c:pt idx="2">
                  <c:v>-24218.130310736131</c:v>
                </c:pt>
                <c:pt idx="3">
                  <c:v>-22885.793918922544</c:v>
                </c:pt>
                <c:pt idx="4">
                  <c:v>-21933.870550755411</c:v>
                </c:pt>
                <c:pt idx="5">
                  <c:v>514.81283638125751</c:v>
                </c:pt>
                <c:pt idx="6">
                  <c:v>669.54559136391617</c:v>
                </c:pt>
                <c:pt idx="7">
                  <c:v>1223.4948227065615</c:v>
                </c:pt>
                <c:pt idx="8">
                  <c:v>2530.0463245548308</c:v>
                </c:pt>
                <c:pt idx="9">
                  <c:v>3682.5906212609261</c:v>
                </c:pt>
                <c:pt idx="10">
                  <c:v>6223.0264501986094</c:v>
                </c:pt>
                <c:pt idx="11">
                  <c:v>4762.1673451159149</c:v>
                </c:pt>
                <c:pt idx="12">
                  <c:v>4921.1303977128118</c:v>
                </c:pt>
                <c:pt idx="13">
                  <c:v>2153.8081816127524</c:v>
                </c:pt>
                <c:pt idx="14">
                  <c:v>4393.0415093516931</c:v>
                </c:pt>
                <c:pt idx="15">
                  <c:v>-8022.4492589086294</c:v>
                </c:pt>
                <c:pt idx="16">
                  <c:v>8603.6864087451249</c:v>
                </c:pt>
                <c:pt idx="17">
                  <c:v>15304.509727980942</c:v>
                </c:pt>
                <c:pt idx="18">
                  <c:v>5609.3010187074542</c:v>
                </c:pt>
                <c:pt idx="19">
                  <c:v>13517.381618390791</c:v>
                </c:pt>
                <c:pt idx="20">
                  <c:v>15576.074874717742</c:v>
                </c:pt>
                <c:pt idx="21">
                  <c:v>21390.252362232655</c:v>
                </c:pt>
                <c:pt idx="22">
                  <c:v>14093.074299914762</c:v>
                </c:pt>
                <c:pt idx="23">
                  <c:v>27444.961534276605</c:v>
                </c:pt>
                <c:pt idx="24">
                  <c:v>53933.116007216275</c:v>
                </c:pt>
                <c:pt idx="25">
                  <c:v>49493.11928666383</c:v>
                </c:pt>
                <c:pt idx="26">
                  <c:v>97558.054143577814</c:v>
                </c:pt>
              </c:numCache>
            </c:numRef>
          </c:val>
          <c:extLst>
            <c:ext xmlns:c16="http://schemas.microsoft.com/office/drawing/2014/chart" uri="{C3380CC4-5D6E-409C-BE32-E72D297353CC}">
              <c16:uniqueId val="{00000000-2A09-4B7B-9180-F4579E59B322}"/>
            </c:ext>
          </c:extLst>
        </c:ser>
        <c:dLbls>
          <c:showLegendKey val="0"/>
          <c:showVal val="0"/>
          <c:showCatName val="0"/>
          <c:showSerName val="0"/>
          <c:showPercent val="0"/>
          <c:showBubbleSize val="0"/>
        </c:dLbls>
        <c:gapWidth val="219"/>
        <c:overlap val="-27"/>
        <c:axId val="1759943687"/>
        <c:axId val="1421194248"/>
      </c:barChart>
      <c:scatterChart>
        <c:scatterStyle val="lineMarker"/>
        <c:varyColors val="0"/>
        <c:ser>
          <c:idx val="1"/>
          <c:order val="1"/>
          <c:tx>
            <c:strRef>
              <c:f>'Outputs - Part 2'!$G$14</c:f>
              <c:strCache>
                <c:ptCount val="1"/>
                <c:pt idx="0">
                  <c:v>Status Quo Vs Proposal %</c:v>
                </c:pt>
              </c:strCache>
            </c:strRef>
          </c:tx>
          <c:spPr>
            <a:ln w="25400" cap="rnd">
              <a:noFill/>
              <a:round/>
            </a:ln>
            <a:effectLst/>
          </c:spPr>
          <c:marker>
            <c:symbol val="circle"/>
            <c:size val="5"/>
            <c:spPr>
              <a:solidFill>
                <a:schemeClr val="accent2"/>
              </a:solidFill>
              <a:ln w="15875">
                <a:solidFill>
                  <a:schemeClr val="accent2"/>
                </a:solidFill>
              </a:ln>
              <a:effectLst/>
            </c:spPr>
          </c:marker>
          <c:xVal>
            <c:strRef>
              <c:f>'Outputs - Part 2'!$B$15:$B$41</c:f>
              <c:strCache>
                <c:ptCount val="27"/>
                <c:pt idx="0">
                  <c:v>Orion New Zealand Limited</c:v>
                </c:pt>
                <c:pt idx="1">
                  <c:v>Electra Limited</c:v>
                </c:pt>
                <c:pt idx="2">
                  <c:v>Network Waitaki Limited</c:v>
                </c:pt>
                <c:pt idx="3">
                  <c:v>Counties Energy Ltd</c:v>
                </c:pt>
                <c:pt idx="4">
                  <c:v>EA Networks</c:v>
                </c:pt>
                <c:pt idx="5">
                  <c:v>Buller Electricity Ltd</c:v>
                </c:pt>
                <c:pt idx="6">
                  <c:v>Nelson Electricity Ltd</c:v>
                </c:pt>
                <c:pt idx="7">
                  <c:v>Scanpower Limited</c:v>
                </c:pt>
                <c:pt idx="8">
                  <c:v>Westpower Limited</c:v>
                </c:pt>
                <c:pt idx="9">
                  <c:v>The Lines Company Ltd</c:v>
                </c:pt>
                <c:pt idx="10">
                  <c:v>Centralines Limited</c:v>
                </c:pt>
                <c:pt idx="11">
                  <c:v>Firstlight Network Limited</c:v>
                </c:pt>
                <c:pt idx="12">
                  <c:v>Top Energy Ltd</c:v>
                </c:pt>
                <c:pt idx="13">
                  <c:v>Mainpower New Zealand Limited</c:v>
                </c:pt>
                <c:pt idx="14">
                  <c:v>Horizon Energy Distribution Ltd</c:v>
                </c:pt>
                <c:pt idx="15">
                  <c:v>Unison Networks Limited</c:v>
                </c:pt>
                <c:pt idx="16">
                  <c:v>Northpower Limited</c:v>
                </c:pt>
                <c:pt idx="17">
                  <c:v>Marlborough Lines Limited</c:v>
                </c:pt>
                <c:pt idx="18">
                  <c:v>Aurora Energy Limited</c:v>
                </c:pt>
                <c:pt idx="19">
                  <c:v>Network Tasman Limited</c:v>
                </c:pt>
                <c:pt idx="20">
                  <c:v>Alpine Energy Ltd</c:v>
                </c:pt>
                <c:pt idx="21">
                  <c:v>Waipa Networks Limited</c:v>
                </c:pt>
                <c:pt idx="22">
                  <c:v>WEL Networks Limited</c:v>
                </c:pt>
                <c:pt idx="23">
                  <c:v>Wellington Electricity Lines Limited</c:v>
                </c:pt>
                <c:pt idx="24">
                  <c:v>Powernet Ltd</c:v>
                </c:pt>
                <c:pt idx="25">
                  <c:v>Powerco Limited</c:v>
                </c:pt>
                <c:pt idx="26">
                  <c:v>Vector Limited</c:v>
                </c:pt>
              </c:strCache>
            </c:strRef>
          </c:xVal>
          <c:yVal>
            <c:numRef>
              <c:f>'Outputs - Part 2'!$G$15:$G$41</c:f>
              <c:numCache>
                <c:formatCode>0.0%</c:formatCode>
                <c:ptCount val="27"/>
                <c:pt idx="0">
                  <c:v>-2.0404499559965039E-3</c:v>
                </c:pt>
                <c:pt idx="1">
                  <c:v>-4.7483053217073357E-3</c:v>
                </c:pt>
                <c:pt idx="2">
                  <c:v>-6.6355962322494078E-3</c:v>
                </c:pt>
                <c:pt idx="3">
                  <c:v>-2.9960757309218655E-3</c:v>
                </c:pt>
                <c:pt idx="4">
                  <c:v>-2.4103937176308543E-3</c:v>
                </c:pt>
                <c:pt idx="5">
                  <c:v>9.0079319240210509E-4</c:v>
                </c:pt>
                <c:pt idx="6">
                  <c:v>9.0079319240232714E-4</c:v>
                </c:pt>
                <c:pt idx="7">
                  <c:v>1.4716595437618274E-3</c:v>
                </c:pt>
                <c:pt idx="8">
                  <c:v>9.0079319240210509E-4</c:v>
                </c:pt>
                <c:pt idx="9">
                  <c:v>9.0079319240232714E-4</c:v>
                </c:pt>
                <c:pt idx="10">
                  <c:v>5.4227629335001915E-3</c:v>
                </c:pt>
                <c:pt idx="11">
                  <c:v>1.4211884936190522E-3</c:v>
                </c:pt>
                <c:pt idx="12">
                  <c:v>1.2798310736390484E-3</c:v>
                </c:pt>
                <c:pt idx="13">
                  <c:v>2.8762513067204232E-4</c:v>
                </c:pt>
                <c:pt idx="14">
                  <c:v>9.0079319240210509E-4</c:v>
                </c:pt>
                <c:pt idx="15">
                  <c:v>-3.9521438885203874E-4</c:v>
                </c:pt>
                <c:pt idx="16">
                  <c:v>9.0079319240210509E-4</c:v>
                </c:pt>
                <c:pt idx="17">
                  <c:v>3.7096534871614573E-3</c:v>
                </c:pt>
                <c:pt idx="18">
                  <c:v>3.2448880664692759E-4</c:v>
                </c:pt>
                <c:pt idx="19">
                  <c:v>1.6540025984910223E-3</c:v>
                </c:pt>
                <c:pt idx="20">
                  <c:v>1.7651753821710248E-3</c:v>
                </c:pt>
                <c:pt idx="21">
                  <c:v>4.9410883287275276E-3</c:v>
                </c:pt>
                <c:pt idx="22">
                  <c:v>9.0079319240210509E-4</c:v>
                </c:pt>
                <c:pt idx="23">
                  <c:v>9.0079319240232714E-4</c:v>
                </c:pt>
                <c:pt idx="24">
                  <c:v>3.3897190705558522E-3</c:v>
                </c:pt>
                <c:pt idx="25">
                  <c:v>8.5640995492108907E-4</c:v>
                </c:pt>
                <c:pt idx="26">
                  <c:v>9.0079319240210509E-4</c:v>
                </c:pt>
              </c:numCache>
            </c:numRef>
          </c:yVal>
          <c:smooth val="0"/>
          <c:extLst>
            <c:ext xmlns:c16="http://schemas.microsoft.com/office/drawing/2014/chart" uri="{C3380CC4-5D6E-409C-BE32-E72D297353CC}">
              <c16:uniqueId val="{00000001-2A09-4B7B-9180-F4579E59B322}"/>
            </c:ext>
          </c:extLst>
        </c:ser>
        <c:dLbls>
          <c:showLegendKey val="0"/>
          <c:showVal val="0"/>
          <c:showCatName val="0"/>
          <c:showSerName val="0"/>
          <c:showPercent val="0"/>
          <c:showBubbleSize val="0"/>
        </c:dLbls>
        <c:axId val="1364658399"/>
        <c:axId val="1998680480"/>
      </c:scatterChart>
      <c:catAx>
        <c:axId val="1759943687"/>
        <c:scaling>
          <c:orientation val="minMax"/>
        </c:scaling>
        <c:delete val="0"/>
        <c:axPos val="b"/>
        <c:numFmt formatCode="General" sourceLinked="1"/>
        <c:majorTickMark val="none"/>
        <c:minorTickMark val="none"/>
        <c:tickLblPos val="low"/>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1194248"/>
        <c:crosses val="autoZero"/>
        <c:auto val="1"/>
        <c:lblAlgn val="ctr"/>
        <c:lblOffset val="100"/>
        <c:noMultiLvlLbl val="0"/>
      </c:catAx>
      <c:valAx>
        <c:axId val="1421194248"/>
        <c:scaling>
          <c:orientation val="minMax"/>
          <c:max val="25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9943687"/>
        <c:crosses val="autoZero"/>
        <c:crossBetween val="between"/>
      </c:valAx>
      <c:valAx>
        <c:axId val="1998680480"/>
        <c:scaling>
          <c:orientation val="minMax"/>
          <c:max val="1.8000000000000002E-2"/>
          <c:min val="-8.0000000000000019E-3"/>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4658399"/>
        <c:crosses val="max"/>
        <c:crossBetween val="midCat"/>
        <c:majorUnit val="4.000000000000001E-3"/>
      </c:valAx>
      <c:valAx>
        <c:axId val="1364658399"/>
        <c:scaling>
          <c:orientation val="minMax"/>
        </c:scaling>
        <c:delete val="1"/>
        <c:axPos val="b"/>
        <c:numFmt formatCode="General" sourceLinked="1"/>
        <c:majorTickMark val="out"/>
        <c:minorTickMark val="none"/>
        <c:tickLblPos val="nextTo"/>
        <c:crossAx val="19986804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NZ" sz="1600"/>
              <a:t>Generators </a:t>
            </a:r>
            <a:r>
              <a:rPr lang="en-NZ" sz="1600" baseline="0"/>
              <a:t>2026/27 Status Quo Vs Proposal</a:t>
            </a:r>
            <a:endParaRPr lang="en-NZ"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'Outputs - Part 2'!$F$14</c:f>
              <c:strCache>
                <c:ptCount val="1"/>
                <c:pt idx="0">
                  <c:v>Status Quo Vs Proposal $</c:v>
                </c:pt>
              </c:strCache>
            </c:strRef>
          </c:tx>
          <c:spPr>
            <a:solidFill>
              <a:schemeClr val="accent1"/>
            </a:solidFill>
            <a:ln>
              <a:noFill/>
            </a:ln>
            <a:effectLst/>
          </c:spPr>
          <c:invertIfNegative val="0"/>
          <c:cat>
            <c:strRef>
              <c:f>'Outputs - Part 2'!$B$51:$B$62</c:f>
              <c:strCache>
                <c:ptCount val="12"/>
                <c:pt idx="0">
                  <c:v>Mercury NZ Limited</c:v>
                </c:pt>
                <c:pt idx="1">
                  <c:v>Genesis Energy Ltd</c:v>
                </c:pt>
                <c:pt idx="2">
                  <c:v>Nga Awa Purua Joint Venture</c:v>
                </c:pt>
                <c:pt idx="3">
                  <c:v>MEL (Te Apiti) Limited</c:v>
                </c:pt>
                <c:pt idx="4">
                  <c:v>Tararua Wind Power</c:v>
                </c:pt>
                <c:pt idx="5">
                  <c:v>MEL (West Wind) Limited</c:v>
                </c:pt>
                <c:pt idx="6">
                  <c:v>Ngatamariki Geothermal Ltd</c:v>
                </c:pt>
                <c:pt idx="7">
                  <c:v>Manawa Energy Ltd</c:v>
                </c:pt>
                <c:pt idx="8">
                  <c:v>Nova Energy Limited</c:v>
                </c:pt>
                <c:pt idx="9">
                  <c:v>Contact Energy Limited</c:v>
                </c:pt>
                <c:pt idx="10">
                  <c:v>Meridian Energy Limited</c:v>
                </c:pt>
                <c:pt idx="11">
                  <c:v>Mercury SPV Limited</c:v>
                </c:pt>
              </c:strCache>
            </c:strRef>
          </c:cat>
          <c:val>
            <c:numRef>
              <c:f>'Outputs - Part 2'!$F$51:$F$62</c:f>
              <c:numCache>
                <c:formatCode>_(* #,##0_);_(* \(#,##0\);_(* "-"??_);_(@_)</c:formatCode>
                <c:ptCount val="12"/>
                <c:pt idx="0">
                  <c:v>-202126.49256216432</c:v>
                </c:pt>
                <c:pt idx="1">
                  <c:v>-32242.173859680654</c:v>
                </c:pt>
                <c:pt idx="2">
                  <c:v>-11914.139263296791</c:v>
                </c:pt>
                <c:pt idx="3">
                  <c:v>0</c:v>
                </c:pt>
                <c:pt idx="4">
                  <c:v>0</c:v>
                </c:pt>
                <c:pt idx="5">
                  <c:v>0</c:v>
                </c:pt>
                <c:pt idx="6">
                  <c:v>0</c:v>
                </c:pt>
                <c:pt idx="7">
                  <c:v>29.267956295334443</c:v>
                </c:pt>
                <c:pt idx="8">
                  <c:v>301.25943791877944</c:v>
                </c:pt>
                <c:pt idx="9">
                  <c:v>1126.3733230128419</c:v>
                </c:pt>
                <c:pt idx="10">
                  <c:v>1150.4832716609817</c:v>
                </c:pt>
                <c:pt idx="11">
                  <c:v>0</c:v>
                </c:pt>
              </c:numCache>
            </c:numRef>
          </c:val>
          <c:extLst>
            <c:ext xmlns:c16="http://schemas.microsoft.com/office/drawing/2014/chart" uri="{C3380CC4-5D6E-409C-BE32-E72D297353CC}">
              <c16:uniqueId val="{00000000-2C4F-45B9-9B83-342C284D0997}"/>
            </c:ext>
          </c:extLst>
        </c:ser>
        <c:dLbls>
          <c:showLegendKey val="0"/>
          <c:showVal val="0"/>
          <c:showCatName val="0"/>
          <c:showSerName val="0"/>
          <c:showPercent val="0"/>
          <c:showBubbleSize val="0"/>
        </c:dLbls>
        <c:gapWidth val="219"/>
        <c:overlap val="-27"/>
        <c:axId val="1759943687"/>
        <c:axId val="1421194248"/>
      </c:barChart>
      <c:scatterChart>
        <c:scatterStyle val="lineMarker"/>
        <c:varyColors val="0"/>
        <c:ser>
          <c:idx val="1"/>
          <c:order val="1"/>
          <c:tx>
            <c:strRef>
              <c:f>'Outputs - Part 2'!$G$14</c:f>
              <c:strCache>
                <c:ptCount val="1"/>
                <c:pt idx="0">
                  <c:v>Status Quo Vs Proposal %</c:v>
                </c:pt>
              </c:strCache>
            </c:strRef>
          </c:tx>
          <c:spPr>
            <a:ln w="25400" cap="rnd">
              <a:noFill/>
              <a:round/>
            </a:ln>
            <a:effectLst/>
          </c:spPr>
          <c:marker>
            <c:symbol val="circle"/>
            <c:size val="5"/>
            <c:spPr>
              <a:solidFill>
                <a:schemeClr val="accent2"/>
              </a:solidFill>
              <a:ln w="19050">
                <a:solidFill>
                  <a:schemeClr val="accent2"/>
                </a:solidFill>
              </a:ln>
              <a:effectLst/>
            </c:spPr>
          </c:marker>
          <c:xVal>
            <c:strRef>
              <c:f>'Outputs - Part 2'!$B$15:$B$41</c:f>
              <c:strCache>
                <c:ptCount val="27"/>
                <c:pt idx="0">
                  <c:v>Orion New Zealand Limited</c:v>
                </c:pt>
                <c:pt idx="1">
                  <c:v>Electra Limited</c:v>
                </c:pt>
                <c:pt idx="2">
                  <c:v>Network Waitaki Limited</c:v>
                </c:pt>
                <c:pt idx="3">
                  <c:v>Counties Energy Ltd</c:v>
                </c:pt>
                <c:pt idx="4">
                  <c:v>EA Networks</c:v>
                </c:pt>
                <c:pt idx="5">
                  <c:v>Buller Electricity Ltd</c:v>
                </c:pt>
                <c:pt idx="6">
                  <c:v>Nelson Electricity Ltd</c:v>
                </c:pt>
                <c:pt idx="7">
                  <c:v>Scanpower Limited</c:v>
                </c:pt>
                <c:pt idx="8">
                  <c:v>Westpower Limited</c:v>
                </c:pt>
                <c:pt idx="9">
                  <c:v>The Lines Company Ltd</c:v>
                </c:pt>
                <c:pt idx="10">
                  <c:v>Centralines Limited</c:v>
                </c:pt>
                <c:pt idx="11">
                  <c:v>Firstlight Network Limited</c:v>
                </c:pt>
                <c:pt idx="12">
                  <c:v>Top Energy Ltd</c:v>
                </c:pt>
                <c:pt idx="13">
                  <c:v>Mainpower New Zealand Limited</c:v>
                </c:pt>
                <c:pt idx="14">
                  <c:v>Horizon Energy Distribution Ltd</c:v>
                </c:pt>
                <c:pt idx="15">
                  <c:v>Unison Networks Limited</c:v>
                </c:pt>
                <c:pt idx="16">
                  <c:v>Northpower Limited</c:v>
                </c:pt>
                <c:pt idx="17">
                  <c:v>Marlborough Lines Limited</c:v>
                </c:pt>
                <c:pt idx="18">
                  <c:v>Aurora Energy Limited</c:v>
                </c:pt>
                <c:pt idx="19">
                  <c:v>Network Tasman Limited</c:v>
                </c:pt>
                <c:pt idx="20">
                  <c:v>Alpine Energy Ltd</c:v>
                </c:pt>
                <c:pt idx="21">
                  <c:v>Waipa Networks Limited</c:v>
                </c:pt>
                <c:pt idx="22">
                  <c:v>WEL Networks Limited</c:v>
                </c:pt>
                <c:pt idx="23">
                  <c:v>Wellington Electricity Lines Limited</c:v>
                </c:pt>
                <c:pt idx="24">
                  <c:v>Powernet Ltd</c:v>
                </c:pt>
                <c:pt idx="25">
                  <c:v>Powerco Limited</c:v>
                </c:pt>
                <c:pt idx="26">
                  <c:v>Vector Limited</c:v>
                </c:pt>
              </c:strCache>
            </c:strRef>
          </c:xVal>
          <c:yVal>
            <c:numRef>
              <c:f>'Outputs - Part 2'!$G$51:$G$62</c:f>
              <c:numCache>
                <c:formatCode>0.0%</c:formatCode>
                <c:ptCount val="12"/>
                <c:pt idx="0">
                  <c:v>-9.3350951577300223E-2</c:v>
                </c:pt>
                <c:pt idx="1">
                  <c:v>-4.5708252250643899E-2</c:v>
                </c:pt>
                <c:pt idx="2">
                  <c:v>-3.9697711667205704E-2</c:v>
                </c:pt>
                <c:pt idx="3">
                  <c:v>0</c:v>
                </c:pt>
                <c:pt idx="4">
                  <c:v>0</c:v>
                </c:pt>
                <c:pt idx="5">
                  <c:v>0</c:v>
                </c:pt>
                <c:pt idx="6">
                  <c:v>0</c:v>
                </c:pt>
                <c:pt idx="7">
                  <c:v>9.0079319240210509E-4</c:v>
                </c:pt>
                <c:pt idx="8">
                  <c:v>9.0079319240232714E-4</c:v>
                </c:pt>
                <c:pt idx="9">
                  <c:v>9.0079319240210509E-4</c:v>
                </c:pt>
                <c:pt idx="10">
                  <c:v>9.0079319240232714E-4</c:v>
                </c:pt>
                <c:pt idx="11">
                  <c:v>0</c:v>
                </c:pt>
              </c:numCache>
            </c:numRef>
          </c:yVal>
          <c:smooth val="0"/>
          <c:extLst>
            <c:ext xmlns:c16="http://schemas.microsoft.com/office/drawing/2014/chart" uri="{C3380CC4-5D6E-409C-BE32-E72D297353CC}">
              <c16:uniqueId val="{00000001-2C4F-45B9-9B83-342C284D0997}"/>
            </c:ext>
          </c:extLst>
        </c:ser>
        <c:dLbls>
          <c:showLegendKey val="0"/>
          <c:showVal val="0"/>
          <c:showCatName val="0"/>
          <c:showSerName val="0"/>
          <c:showPercent val="0"/>
          <c:showBubbleSize val="0"/>
        </c:dLbls>
        <c:axId val="1364658399"/>
        <c:axId val="1998680480"/>
      </c:scatterChart>
      <c:catAx>
        <c:axId val="1759943687"/>
        <c:scaling>
          <c:orientation val="minMax"/>
        </c:scaling>
        <c:delete val="0"/>
        <c:axPos val="b"/>
        <c:numFmt formatCode="General" sourceLinked="1"/>
        <c:majorTickMark val="none"/>
        <c:minorTickMark val="none"/>
        <c:tickLblPos val="low"/>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1194248"/>
        <c:crosses val="autoZero"/>
        <c:auto val="1"/>
        <c:lblAlgn val="ctr"/>
        <c:lblOffset val="100"/>
        <c:noMultiLvlLbl val="0"/>
      </c:catAx>
      <c:valAx>
        <c:axId val="142119424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9943687"/>
        <c:crosses val="autoZero"/>
        <c:crossBetween val="between"/>
      </c:valAx>
      <c:valAx>
        <c:axId val="1998680480"/>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4658399"/>
        <c:crosses val="max"/>
        <c:crossBetween val="midCat"/>
      </c:valAx>
      <c:valAx>
        <c:axId val="1364658399"/>
        <c:scaling>
          <c:orientation val="minMax"/>
        </c:scaling>
        <c:delete val="1"/>
        <c:axPos val="b"/>
        <c:numFmt formatCode="General" sourceLinked="1"/>
        <c:majorTickMark val="out"/>
        <c:minorTickMark val="none"/>
        <c:tickLblPos val="nextTo"/>
        <c:crossAx val="19986804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NZ" sz="1600"/>
              <a:t>Direct</a:t>
            </a:r>
            <a:r>
              <a:rPr lang="en-NZ" sz="1600" baseline="0"/>
              <a:t> Connections 2026/27 Status Quo Vs Proposal</a:t>
            </a:r>
            <a:endParaRPr lang="en-NZ"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'Outputs - Part 2'!$F$14</c:f>
              <c:strCache>
                <c:ptCount val="1"/>
                <c:pt idx="0">
                  <c:v>Status Quo Vs Proposal $</c:v>
                </c:pt>
              </c:strCache>
            </c:strRef>
          </c:tx>
          <c:spPr>
            <a:solidFill>
              <a:schemeClr val="accent1"/>
            </a:solidFill>
            <a:ln>
              <a:noFill/>
            </a:ln>
            <a:effectLst/>
          </c:spPr>
          <c:invertIfNegative val="0"/>
          <c:cat>
            <c:strRef>
              <c:f>'Outputs - Part 2'!$B$70:$B$80</c:f>
              <c:strCache>
                <c:ptCount val="11"/>
                <c:pt idx="0">
                  <c:v>OMV New Zealand Limited</c:v>
                </c:pt>
                <c:pt idx="1">
                  <c:v>Southpark Utilities Limited</c:v>
                </c:pt>
                <c:pt idx="2">
                  <c:v>Methanex New Zealand Ltd</c:v>
                </c:pt>
                <c:pt idx="3">
                  <c:v>Daiken Southland Limited</c:v>
                </c:pt>
                <c:pt idx="4">
                  <c:v>Pan Pac Forest Product Limited</c:v>
                </c:pt>
                <c:pt idx="5">
                  <c:v>Whareroa Cogeneration Limited</c:v>
                </c:pt>
                <c:pt idx="6">
                  <c:v>Winstone Pulp International</c:v>
                </c:pt>
                <c:pt idx="7">
                  <c:v>KiwiRail Holdings Limited</c:v>
                </c:pt>
                <c:pt idx="8">
                  <c:v>New Zealand Steel Limited</c:v>
                </c:pt>
                <c:pt idx="9">
                  <c:v>Beach Energy Resources NZ (Holdings) Ltd</c:v>
                </c:pt>
                <c:pt idx="10">
                  <c:v>NZ Aluminium Smelters Limited</c:v>
                </c:pt>
              </c:strCache>
            </c:strRef>
          </c:cat>
          <c:val>
            <c:numRef>
              <c:f>'Outputs - Part 2'!$F$70:$F$80</c:f>
              <c:numCache>
                <c:formatCode>_(* #,##0_);_(* \(#,##0\);_(* "-"??_);_(@_)</c:formatCode>
                <c:ptCount val="11"/>
                <c:pt idx="0">
                  <c:v>0</c:v>
                </c:pt>
                <c:pt idx="1">
                  <c:v>3.8805947225664568</c:v>
                </c:pt>
                <c:pt idx="2">
                  <c:v>441.87795034016017</c:v>
                </c:pt>
                <c:pt idx="3">
                  <c:v>452.87666542071383</c:v>
                </c:pt>
                <c:pt idx="4">
                  <c:v>815.08557633811142</c:v>
                </c:pt>
                <c:pt idx="5">
                  <c:v>1426.8338662907481</c:v>
                </c:pt>
                <c:pt idx="6">
                  <c:v>1666.6143440529704</c:v>
                </c:pt>
                <c:pt idx="7">
                  <c:v>1871.4256129818968</c:v>
                </c:pt>
                <c:pt idx="8">
                  <c:v>7758.1593625806272</c:v>
                </c:pt>
                <c:pt idx="9">
                  <c:v>39633.656816350063</c:v>
                </c:pt>
                <c:pt idx="10">
                  <c:v>29032.532187141478</c:v>
                </c:pt>
              </c:numCache>
            </c:numRef>
          </c:val>
          <c:extLst>
            <c:ext xmlns:c16="http://schemas.microsoft.com/office/drawing/2014/chart" uri="{C3380CC4-5D6E-409C-BE32-E72D297353CC}">
              <c16:uniqueId val="{00000000-3067-44C8-A361-BEC5F080C3B1}"/>
            </c:ext>
          </c:extLst>
        </c:ser>
        <c:dLbls>
          <c:showLegendKey val="0"/>
          <c:showVal val="0"/>
          <c:showCatName val="0"/>
          <c:showSerName val="0"/>
          <c:showPercent val="0"/>
          <c:showBubbleSize val="0"/>
        </c:dLbls>
        <c:gapWidth val="219"/>
        <c:overlap val="-27"/>
        <c:axId val="1759943687"/>
        <c:axId val="1421194248"/>
      </c:barChart>
      <c:scatterChart>
        <c:scatterStyle val="lineMarker"/>
        <c:varyColors val="0"/>
        <c:ser>
          <c:idx val="1"/>
          <c:order val="1"/>
          <c:tx>
            <c:strRef>
              <c:f>'Outputs - Part 2'!$G$14</c:f>
              <c:strCache>
                <c:ptCount val="1"/>
                <c:pt idx="0">
                  <c:v>Status Quo Vs Proposal %</c:v>
                </c:pt>
              </c:strCache>
            </c:strRef>
          </c:tx>
          <c:spPr>
            <a:ln w="25400" cap="rnd">
              <a:noFill/>
              <a:round/>
            </a:ln>
            <a:effectLst/>
          </c:spPr>
          <c:marker>
            <c:symbol val="circle"/>
            <c:size val="5"/>
            <c:spPr>
              <a:solidFill>
                <a:schemeClr val="accent2"/>
              </a:solidFill>
              <a:ln w="19050">
                <a:solidFill>
                  <a:schemeClr val="accent2"/>
                </a:solidFill>
              </a:ln>
              <a:effectLst/>
            </c:spPr>
          </c:marker>
          <c:xVal>
            <c:strRef>
              <c:f>'Outputs - Part 2'!$B$15:$B$41</c:f>
              <c:strCache>
                <c:ptCount val="27"/>
                <c:pt idx="0">
                  <c:v>Orion New Zealand Limited</c:v>
                </c:pt>
                <c:pt idx="1">
                  <c:v>Electra Limited</c:v>
                </c:pt>
                <c:pt idx="2">
                  <c:v>Network Waitaki Limited</c:v>
                </c:pt>
                <c:pt idx="3">
                  <c:v>Counties Energy Ltd</c:v>
                </c:pt>
                <c:pt idx="4">
                  <c:v>EA Networks</c:v>
                </c:pt>
                <c:pt idx="5">
                  <c:v>Buller Electricity Ltd</c:v>
                </c:pt>
                <c:pt idx="6">
                  <c:v>Nelson Electricity Ltd</c:v>
                </c:pt>
                <c:pt idx="7">
                  <c:v>Scanpower Limited</c:v>
                </c:pt>
                <c:pt idx="8">
                  <c:v>Westpower Limited</c:v>
                </c:pt>
                <c:pt idx="9">
                  <c:v>The Lines Company Ltd</c:v>
                </c:pt>
                <c:pt idx="10">
                  <c:v>Centralines Limited</c:v>
                </c:pt>
                <c:pt idx="11">
                  <c:v>Firstlight Network Limited</c:v>
                </c:pt>
                <c:pt idx="12">
                  <c:v>Top Energy Ltd</c:v>
                </c:pt>
                <c:pt idx="13">
                  <c:v>Mainpower New Zealand Limited</c:v>
                </c:pt>
                <c:pt idx="14">
                  <c:v>Horizon Energy Distribution Ltd</c:v>
                </c:pt>
                <c:pt idx="15">
                  <c:v>Unison Networks Limited</c:v>
                </c:pt>
                <c:pt idx="16">
                  <c:v>Northpower Limited</c:v>
                </c:pt>
                <c:pt idx="17">
                  <c:v>Marlborough Lines Limited</c:v>
                </c:pt>
                <c:pt idx="18">
                  <c:v>Aurora Energy Limited</c:v>
                </c:pt>
                <c:pt idx="19">
                  <c:v>Network Tasman Limited</c:v>
                </c:pt>
                <c:pt idx="20">
                  <c:v>Alpine Energy Ltd</c:v>
                </c:pt>
                <c:pt idx="21">
                  <c:v>Waipa Networks Limited</c:v>
                </c:pt>
                <c:pt idx="22">
                  <c:v>WEL Networks Limited</c:v>
                </c:pt>
                <c:pt idx="23">
                  <c:v>Wellington Electricity Lines Limited</c:v>
                </c:pt>
                <c:pt idx="24">
                  <c:v>Powernet Ltd</c:v>
                </c:pt>
                <c:pt idx="25">
                  <c:v>Powerco Limited</c:v>
                </c:pt>
                <c:pt idx="26">
                  <c:v>Vector Limited</c:v>
                </c:pt>
              </c:strCache>
            </c:strRef>
          </c:xVal>
          <c:yVal>
            <c:numRef>
              <c:f>'Outputs - Part 2'!$G$70:$G$80</c:f>
              <c:numCache>
                <c:formatCode>0.0%</c:formatCode>
                <c:ptCount val="11"/>
                <c:pt idx="0">
                  <c:v>0</c:v>
                </c:pt>
                <c:pt idx="1">
                  <c:v>4.1395248027242815E-4</c:v>
                </c:pt>
                <c:pt idx="2">
                  <c:v>9.0079319240232714E-4</c:v>
                </c:pt>
                <c:pt idx="3">
                  <c:v>9.0079319240232714E-4</c:v>
                </c:pt>
                <c:pt idx="4">
                  <c:v>9.0079319240210509E-4</c:v>
                </c:pt>
                <c:pt idx="5">
                  <c:v>9.0079319240232714E-4</c:v>
                </c:pt>
                <c:pt idx="6">
                  <c:v>9.0079319240232714E-4</c:v>
                </c:pt>
                <c:pt idx="7">
                  <c:v>9.0079319240210509E-4</c:v>
                </c:pt>
                <c:pt idx="8">
                  <c:v>9.0079319240232714E-4</c:v>
                </c:pt>
                <c:pt idx="9">
                  <c:v>6.4135176035744923E-2</c:v>
                </c:pt>
                <c:pt idx="10">
                  <c:v>9.0079319240232714E-4</c:v>
                </c:pt>
              </c:numCache>
            </c:numRef>
          </c:yVal>
          <c:smooth val="0"/>
          <c:extLst>
            <c:ext xmlns:c16="http://schemas.microsoft.com/office/drawing/2014/chart" uri="{C3380CC4-5D6E-409C-BE32-E72D297353CC}">
              <c16:uniqueId val="{00000001-3067-44C8-A361-BEC5F080C3B1}"/>
            </c:ext>
          </c:extLst>
        </c:ser>
        <c:dLbls>
          <c:showLegendKey val="0"/>
          <c:showVal val="0"/>
          <c:showCatName val="0"/>
          <c:showSerName val="0"/>
          <c:showPercent val="0"/>
          <c:showBubbleSize val="0"/>
        </c:dLbls>
        <c:axId val="1364658399"/>
        <c:axId val="1998680480"/>
      </c:scatterChart>
      <c:catAx>
        <c:axId val="1759943687"/>
        <c:scaling>
          <c:orientation val="minMax"/>
        </c:scaling>
        <c:delete val="0"/>
        <c:axPos val="b"/>
        <c:numFmt formatCode="General" sourceLinked="1"/>
        <c:majorTickMark val="none"/>
        <c:minorTickMark val="none"/>
        <c:tickLblPos val="low"/>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1194248"/>
        <c:crosses val="autoZero"/>
        <c:auto val="1"/>
        <c:lblAlgn val="ctr"/>
        <c:lblOffset val="100"/>
        <c:noMultiLvlLbl val="0"/>
      </c:catAx>
      <c:valAx>
        <c:axId val="142119424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9943687"/>
        <c:crosses val="autoZero"/>
        <c:crossBetween val="between"/>
      </c:valAx>
      <c:valAx>
        <c:axId val="1998680480"/>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4658399"/>
        <c:crosses val="max"/>
        <c:crossBetween val="midCat"/>
      </c:valAx>
      <c:valAx>
        <c:axId val="1364658399"/>
        <c:scaling>
          <c:orientation val="minMax"/>
        </c:scaling>
        <c:delete val="1"/>
        <c:axPos val="b"/>
        <c:numFmt formatCode="General" sourceLinked="1"/>
        <c:majorTickMark val="out"/>
        <c:minorTickMark val="none"/>
        <c:tickLblPos val="nextTo"/>
        <c:crossAx val="19986804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292555</xdr:colOff>
      <xdr:row>0</xdr:row>
      <xdr:rowOff>27215</xdr:rowOff>
    </xdr:from>
    <xdr:to>
      <xdr:col>13</xdr:col>
      <xdr:colOff>480877</xdr:colOff>
      <xdr:row>7</xdr:row>
      <xdr:rowOff>79466</xdr:rowOff>
    </xdr:to>
    <xdr:pic>
      <xdr:nvPicPr>
        <xdr:cNvPr id="4" name="Picture 3">
          <a:extLst>
            <a:ext uri="{FF2B5EF4-FFF2-40B4-BE49-F238E27FC236}">
              <a16:creationId xmlns:a16="http://schemas.microsoft.com/office/drawing/2014/main" id="{CD724A50-A148-DAC9-CF31-7AA3A5807E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4716" y="27215"/>
          <a:ext cx="2773680" cy="124968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402772</xdr:colOff>
      <xdr:row>12</xdr:row>
      <xdr:rowOff>172810</xdr:rowOff>
    </xdr:from>
    <xdr:to>
      <xdr:col>15</xdr:col>
      <xdr:colOff>636815</xdr:colOff>
      <xdr:row>39</xdr:row>
      <xdr:rowOff>130628</xdr:rowOff>
    </xdr:to>
    <xdr:graphicFrame macro="">
      <xdr:nvGraphicFramePr>
        <xdr:cNvPr id="2" name="Chart 1">
          <a:extLst>
            <a:ext uri="{FF2B5EF4-FFF2-40B4-BE49-F238E27FC236}">
              <a16:creationId xmlns:a16="http://schemas.microsoft.com/office/drawing/2014/main" id="{C673F52F-74DF-4AFE-B0D3-8490F5406D4D}"/>
            </a:ext>
            <a:ext uri="{147F2762-F138-4A5C-976F-8EAC2B608ADB}">
              <a16:predDERef xmlns:a16="http://schemas.microsoft.com/office/drawing/2014/main" pred="{BCCA90B4-B21D-4F12-A5CE-BB1C0D22F2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489857</xdr:colOff>
      <xdr:row>44</xdr:row>
      <xdr:rowOff>68037</xdr:rowOff>
    </xdr:from>
    <xdr:to>
      <xdr:col>15</xdr:col>
      <xdr:colOff>723900</xdr:colOff>
      <xdr:row>64</xdr:row>
      <xdr:rowOff>2722</xdr:rowOff>
    </xdr:to>
    <xdr:graphicFrame macro="">
      <xdr:nvGraphicFramePr>
        <xdr:cNvPr id="3" name="Chart 2">
          <a:extLst>
            <a:ext uri="{FF2B5EF4-FFF2-40B4-BE49-F238E27FC236}">
              <a16:creationId xmlns:a16="http://schemas.microsoft.com/office/drawing/2014/main" id="{0B126C31-A39A-4B05-8F9A-D697C4C2C2FC}"/>
            </a:ext>
            <a:ext uri="{147F2762-F138-4A5C-976F-8EAC2B608ADB}">
              <a16:predDERef xmlns:a16="http://schemas.microsoft.com/office/drawing/2014/main" pred="{BCCA90B4-B21D-4F12-A5CE-BB1C0D22F2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449035</xdr:colOff>
      <xdr:row>67</xdr:row>
      <xdr:rowOff>13607</xdr:rowOff>
    </xdr:from>
    <xdr:to>
      <xdr:col>15</xdr:col>
      <xdr:colOff>683078</xdr:colOff>
      <xdr:row>88</xdr:row>
      <xdr:rowOff>13607</xdr:rowOff>
    </xdr:to>
    <xdr:graphicFrame macro="">
      <xdr:nvGraphicFramePr>
        <xdr:cNvPr id="4" name="Chart 3">
          <a:extLst>
            <a:ext uri="{FF2B5EF4-FFF2-40B4-BE49-F238E27FC236}">
              <a16:creationId xmlns:a16="http://schemas.microsoft.com/office/drawing/2014/main" id="{F1B858E1-3A90-4F0B-A5F4-354D9AE8ABEF}"/>
            </a:ext>
            <a:ext uri="{147F2762-F138-4A5C-976F-8EAC2B608ADB}">
              <a16:predDERef xmlns:a16="http://schemas.microsoft.com/office/drawing/2014/main" pred="{BCCA90B4-B21D-4F12-A5CE-BB1C0D22F2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obias Maugg" refreshedDate="45506.730204050924" createdVersion="8" refreshedVersion="8" minRefreshableVersion="3" recordCount="200" xr:uid="{D6330D39-5B82-40E3-BF66-6A2F32020C03}">
  <cacheSource type="worksheet">
    <worksheetSource ref="B73:E273" sheet="Inputs - Part 1"/>
  </cacheSource>
  <cacheFields count="4">
    <cacheField name="Customer code" numFmtId="0">
      <sharedItems count="56">
        <s v="ALPE"/>
        <s v="BUEL"/>
        <s v="CHBP"/>
        <s v="COUP"/>
        <s v="CTCT"/>
        <s v="DUNE"/>
        <s v="EASH"/>
        <s v="EAST"/>
        <s v="GENE"/>
        <s v="HORO"/>
        <s v="HRZE"/>
        <s v="KIWI"/>
        <s v="KUPE"/>
        <s v="MARL"/>
        <s v="MELT"/>
        <s v="MELW"/>
        <s v="MERI"/>
        <s v="METH"/>
        <s v="MPOW"/>
        <s v="MRPL"/>
        <s v="MSVP"/>
        <s v="NAPA"/>
        <s v="NELS"/>
        <s v="NPOW"/>
        <s v="NTRG"/>
        <s v="NZAS"/>
        <s v="NZST"/>
        <s v="OMVP"/>
        <s v="ORON"/>
        <s v="PANP"/>
        <s v="POCO"/>
        <s v="POWN"/>
        <s v="RAYN"/>
        <s v="SCAN"/>
        <s v="SHPK"/>
        <s v="SKOG"/>
        <s v="SOU2"/>
        <s v="TARW"/>
        <s v="TASM"/>
        <s v="TBOP"/>
        <s v="TOPE"/>
        <s v="TRNZ"/>
        <s v="TRUG"/>
        <s v="UNET"/>
        <s v="UNIS"/>
        <s v="VECT"/>
        <s v="WAIP"/>
        <s v="WATA"/>
        <s v="WAV1"/>
        <s v="WELE"/>
        <s v="WNST"/>
        <s v="WPOW"/>
        <s v="WTOM"/>
        <s v="KWGL" u="1"/>
        <s v="SCGL" u="1"/>
        <s v="SOLE" u="1"/>
      </sharedItems>
    </cacheField>
    <cacheField name="Location code" numFmtId="0">
      <sharedItems/>
    </cacheField>
    <cacheField name="Connection ID" numFmtId="0">
      <sharedItems/>
    </cacheField>
    <cacheField name="Lagged Annual average Total Gross Energy (LATGE)" numFmtId="164">
      <sharedItems containsSemiMixedTypes="0" containsString="0" containsNumber="1" minValue="0" maxValue="5064546057.435730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
  <r>
    <x v="0"/>
    <s v="ABY"/>
    <s v="ALPEABY"/>
    <n v="23452678.556224927"/>
  </r>
  <r>
    <x v="0"/>
    <s v="BPD"/>
    <s v="ALPEBPD"/>
    <n v="42868516.215364195"/>
  </r>
  <r>
    <x v="0"/>
    <s v="STU"/>
    <s v="ALPESTU"/>
    <n v="61950866.611055173"/>
  </r>
  <r>
    <x v="0"/>
    <s v="TIM"/>
    <s v="ALPETIM"/>
    <n v="361478311.91188896"/>
  </r>
  <r>
    <x v="0"/>
    <s v="TKA"/>
    <s v="ALPETKA"/>
    <n v="20164452.822038412"/>
  </r>
  <r>
    <x v="0"/>
    <s v="TMK"/>
    <s v="ALPETMK"/>
    <n v="282643025.09971756"/>
  </r>
  <r>
    <x v="0"/>
    <s v="TWZ"/>
    <s v="ALPETWZ"/>
    <n v="14883907.584507007"/>
  </r>
  <r>
    <x v="1"/>
    <s v="ORO"/>
    <s v="BUELORO"/>
    <n v="54213589.89735651"/>
  </r>
  <r>
    <x v="1"/>
    <s v="WPT"/>
    <s v="BUELWPT"/>
    <n v="10774849.92440349"/>
  </r>
  <r>
    <x v="2"/>
    <s v="WPW"/>
    <s v="CHBPWPW"/>
    <n v="116244161.72825974"/>
  </r>
  <r>
    <x v="3"/>
    <s v="BOB"/>
    <s v="COUPBOB"/>
    <n v="433952879.62398612"/>
  </r>
  <r>
    <x v="3"/>
    <s v="GLN"/>
    <s v="COUPGLN"/>
    <n v="160729758.90828127"/>
  </r>
  <r>
    <x v="4"/>
    <s v="CYD"/>
    <s v="CTCTCYD"/>
    <n v="2046445.125"/>
  </r>
  <r>
    <x v="4"/>
    <s v="OKI"/>
    <s v="CTCTOKI"/>
    <n v="148909.75"/>
  </r>
  <r>
    <x v="4"/>
    <s v="OTA"/>
    <s v="CTCTOTA"/>
    <n v="535644.46901470877"/>
  </r>
  <r>
    <x v="4"/>
    <s v="PPI"/>
    <s v="CTCTPPI"/>
    <n v="76295.75"/>
  </r>
  <r>
    <x v="4"/>
    <s v="ROX"/>
    <s v="CTCTROX"/>
    <n v="278.5"/>
  </r>
  <r>
    <x v="4"/>
    <s v="SFD"/>
    <s v="CTCTSFD"/>
    <n v="2905582.75"/>
  </r>
  <r>
    <x v="4"/>
    <s v="THI"/>
    <s v="CTCTTHI"/>
    <n v="337885.5"/>
  </r>
  <r>
    <x v="4"/>
    <s v="WHI"/>
    <s v="CTCTWHI"/>
    <n v="1431519.9503940158"/>
  </r>
  <r>
    <x v="4"/>
    <s v="WRK"/>
    <s v="CTCTWRK"/>
    <n v="38159.75"/>
  </r>
  <r>
    <x v="5"/>
    <s v="CML"/>
    <s v="DUNECML"/>
    <n v="193573788.5205487"/>
  </r>
  <r>
    <x v="5"/>
    <s v="CYD"/>
    <s v="DUNECYD"/>
    <n v="91345666.402344555"/>
  </r>
  <r>
    <x v="5"/>
    <s v="FKN"/>
    <s v="DUNEFKN"/>
    <n v="257625807.50877684"/>
  </r>
  <r>
    <x v="5"/>
    <s v="HWB"/>
    <s v="DUNEHWB"/>
    <n v="545879308.84648311"/>
  </r>
  <r>
    <x v="5"/>
    <s v="SDN"/>
    <s v="DUNESDN"/>
    <n v="308810002.06588459"/>
  </r>
  <r>
    <x v="6"/>
    <s v="ASB"/>
    <s v="EASHASB"/>
    <n v="605647198.91170764"/>
  </r>
  <r>
    <x v="7"/>
    <s v="TUI"/>
    <s v="EASTTUI"/>
    <n v="306423642.62857062"/>
  </r>
  <r>
    <x v="8"/>
    <s v="HLY"/>
    <s v="GENEHLY"/>
    <n v="20321.75"/>
  </r>
  <r>
    <x v="8"/>
    <s v="RPO"/>
    <s v="GENERPO"/>
    <n v="0"/>
  </r>
  <r>
    <x v="8"/>
    <s v="TKA"/>
    <s v="GENETKA"/>
    <n v="53113"/>
  </r>
  <r>
    <x v="8"/>
    <s v="TKB"/>
    <s v="GENETKB"/>
    <n v="93.5"/>
  </r>
  <r>
    <x v="8"/>
    <s v="TKU"/>
    <s v="GENETKU"/>
    <n v="4676673.9351757336"/>
  </r>
  <r>
    <x v="8"/>
    <s v="TUI"/>
    <s v="GENETUI"/>
    <n v="41941"/>
  </r>
  <r>
    <x v="9"/>
    <s v="MHO"/>
    <s v="HOROMHO"/>
    <n v="178840502.6049881"/>
  </r>
  <r>
    <x v="9"/>
    <s v="PRM"/>
    <s v="HOROPRM"/>
    <n v="262739840.49447995"/>
  </r>
  <r>
    <x v="10"/>
    <s v="EDG"/>
    <s v="HRZEEDG"/>
    <n v="350156938.66086578"/>
  </r>
  <r>
    <x v="10"/>
    <s v="KAW"/>
    <s v="HRZEKAW"/>
    <n v="112822299.04637195"/>
  </r>
  <r>
    <x v="10"/>
    <s v="WAI"/>
    <s v="HRZEWAI"/>
    <n v="56521561.122411609"/>
  </r>
  <r>
    <x v="11"/>
    <s v="HWA"/>
    <s v="KIWIHWA"/>
    <n v="159588579.0945825"/>
  </r>
  <r>
    <x v="12"/>
    <s v="HWA"/>
    <s v="KUPEHWA"/>
    <n v="60196660.750880986"/>
  </r>
  <r>
    <x v="13"/>
    <s v="BLN"/>
    <s v="MARLBLN"/>
    <n v="401755690.54426664"/>
  </r>
  <r>
    <x v="14"/>
    <s v="WDV"/>
    <s v="MELTWDV"/>
    <n v="553758.5"/>
  </r>
  <r>
    <x v="15"/>
    <s v="WWD"/>
    <s v="MELWWWD"/>
    <n v="687321.75"/>
  </r>
  <r>
    <x v="16"/>
    <s v="AVI"/>
    <s v="MERIAVI"/>
    <n v="346051"/>
  </r>
  <r>
    <x v="16"/>
    <s v="BEN"/>
    <s v="MERIBEN"/>
    <n v="816800.75"/>
  </r>
  <r>
    <x v="16"/>
    <s v="MAN"/>
    <s v="MERIMAN"/>
    <n v="0"/>
  </r>
  <r>
    <x v="16"/>
    <s v="OHA"/>
    <s v="MERIOHA"/>
    <n v="907152"/>
  </r>
  <r>
    <x v="16"/>
    <s v="OHB"/>
    <s v="MERIOHB"/>
    <n v="677908.5"/>
  </r>
  <r>
    <x v="16"/>
    <s v="OHC"/>
    <s v="MERIOHC"/>
    <n v="639434"/>
  </r>
  <r>
    <x v="16"/>
    <s v="TWZ"/>
    <s v="MERITWZ"/>
    <n v="5744955.8216800475"/>
  </r>
  <r>
    <x v="16"/>
    <s v="WTK"/>
    <s v="MERIWTK"/>
    <n v="0"/>
  </r>
  <r>
    <x v="17"/>
    <s v="MNI"/>
    <s v="METHMNI"/>
    <n v="49952259.571524277"/>
  </r>
  <r>
    <x v="18"/>
    <s v="ASY"/>
    <s v="MPOWASY"/>
    <n v="86839966.234259784"/>
  </r>
  <r>
    <x v="18"/>
    <s v="CUL"/>
    <s v="MPOWCUL"/>
    <n v="105858952.82930985"/>
  </r>
  <r>
    <x v="18"/>
    <s v="KAI"/>
    <s v="MPOWKAI"/>
    <n v="137261665.79306895"/>
  </r>
  <r>
    <x v="18"/>
    <s v="SBK"/>
    <s v="MPOWSBK"/>
    <n v="238336761.51794598"/>
  </r>
  <r>
    <x v="18"/>
    <s v="WPR"/>
    <s v="MPOWWPR"/>
    <n v="73323208.128896281"/>
  </r>
  <r>
    <x v="19"/>
    <s v="ARA"/>
    <s v="MRPLARA"/>
    <n v="0"/>
  </r>
  <r>
    <x v="19"/>
    <s v="ARI"/>
    <s v="MRPLARI"/>
    <n v="795129.25"/>
  </r>
  <r>
    <x v="19"/>
    <s v="ATI"/>
    <s v="MRPLATI"/>
    <n v="8261312.5"/>
  </r>
  <r>
    <x v="19"/>
    <s v="KPO"/>
    <s v="MRPLKPO"/>
    <n v="0"/>
  </r>
  <r>
    <x v="19"/>
    <s v="MTI"/>
    <s v="MRPLMTI"/>
    <n v="85212.5"/>
  </r>
  <r>
    <x v="19"/>
    <s v="OHK"/>
    <s v="MRPLOHK"/>
    <n v="222177.5"/>
  </r>
  <r>
    <x v="19"/>
    <s v="WKM"/>
    <s v="MRPLWKM"/>
    <n v="65642326.160000101"/>
  </r>
  <r>
    <x v="19"/>
    <s v="WPA"/>
    <s v="MRPLWPA"/>
    <n v="25032.5"/>
  </r>
  <r>
    <x v="20"/>
    <s v="LTN"/>
    <s v="MSVPLTN"/>
    <n v="0"/>
  </r>
  <r>
    <x v="21"/>
    <s v="NAP"/>
    <s v="NAPANAP"/>
    <n v="106052.5"/>
  </r>
  <r>
    <x v="22"/>
    <s v="STK"/>
    <s v="NELSSTK"/>
    <n v="52070375.561945967"/>
  </r>
  <r>
    <x v="23"/>
    <s v="BRB"/>
    <s v="NPOWBRB"/>
    <n v="401184496.3727358"/>
  </r>
  <r>
    <x v="23"/>
    <s v="MPE"/>
    <s v="NPOWMPE"/>
    <n v="605266664.62793279"/>
  </r>
  <r>
    <x v="23"/>
    <s v="MTO"/>
    <s v="NPOWMTO"/>
    <n v="98798129.374870718"/>
  </r>
  <r>
    <x v="24"/>
    <s v="NAP"/>
    <s v="NTRGNAP"/>
    <n v="6311.5"/>
  </r>
  <r>
    <x v="25"/>
    <s v="TWI"/>
    <s v="NZASTWI"/>
    <n v="5064546057.4357309"/>
  </r>
  <r>
    <x v="26"/>
    <s v="GLN"/>
    <s v="NZSTGLN"/>
    <n v="1082038483.1904964"/>
  </r>
  <r>
    <x v="27"/>
    <s v="MNI"/>
    <s v="OMVPMNI"/>
    <n v="0"/>
  </r>
  <r>
    <x v="28"/>
    <s v="APS"/>
    <s v="ORONAPS"/>
    <n v="1150171.8711802044"/>
  </r>
  <r>
    <x v="28"/>
    <s v="BRY"/>
    <s v="ORONBRY"/>
    <n v="662255965.19640827"/>
  </r>
  <r>
    <x v="28"/>
    <s v="CLH"/>
    <s v="ORONCLH"/>
    <n v="1703272.2356436341"/>
  </r>
  <r>
    <x v="28"/>
    <s v="COL"/>
    <s v="ORONCOL"/>
    <n v="1240620.0836193198"/>
  </r>
  <r>
    <x v="28"/>
    <s v="HOR"/>
    <s v="ORONHOR"/>
    <n v="178521872.69637841"/>
  </r>
  <r>
    <x v="28"/>
    <s v="ISL"/>
    <s v="ORONISL"/>
    <n v="2385955785.8151212"/>
  </r>
  <r>
    <x v="28"/>
    <s v="KBY"/>
    <s v="ORONKBY"/>
    <n v="66479276.259458601"/>
  </r>
  <r>
    <x v="29"/>
    <s v="WHI"/>
    <s v="PANPWHI"/>
    <n v="513137202.17796659"/>
  </r>
  <r>
    <x v="30"/>
    <s v="BPE"/>
    <s v="POCOBPE"/>
    <n v="478815154.76938725"/>
  </r>
  <r>
    <x v="30"/>
    <s v="BRK"/>
    <s v="POCOBRK"/>
    <n v="123567087.94766605"/>
  </r>
  <r>
    <x v="30"/>
    <s v="CST"/>
    <s v="POCOCST"/>
    <n v="238173965.62989759"/>
  </r>
  <r>
    <x v="30"/>
    <s v="GYT"/>
    <s v="POCOGYT"/>
    <n v="74120789.300415263"/>
  </r>
  <r>
    <x v="30"/>
    <s v="HIN"/>
    <s v="POCOHIN"/>
    <n v="208349391.37128001"/>
  </r>
  <r>
    <x v="30"/>
    <s v="HUI"/>
    <s v="POCOHUI"/>
    <n v="183919910.15695253"/>
  </r>
  <r>
    <x v="30"/>
    <s v="HWA"/>
    <s v="POCOHWA"/>
    <n v="159259102.85524917"/>
  </r>
  <r>
    <x v="30"/>
    <s v="KIN"/>
    <s v="POCOKIN"/>
    <n v="657173861.88916874"/>
  </r>
  <r>
    <x v="30"/>
    <s v="KMO"/>
    <s v="POCOKMO"/>
    <n v="75151612.581586272"/>
  </r>
  <r>
    <x v="30"/>
    <s v="KPU"/>
    <s v="POCOKPU"/>
    <n v="217309213.18133882"/>
  </r>
  <r>
    <x v="30"/>
    <s v="LTN"/>
    <s v="POCOLTN"/>
    <n v="255357019.55466151"/>
  </r>
  <r>
    <x v="30"/>
    <s v="MGM"/>
    <s v="POCOMGM"/>
    <n v="76986027.625364423"/>
  </r>
  <r>
    <x v="30"/>
    <s v="MST"/>
    <s v="POCOMST"/>
    <n v="223707326.43741512"/>
  </r>
  <r>
    <x v="30"/>
    <s v="MTM"/>
    <s v="POCOMTM"/>
    <n v="308793196.72237039"/>
  </r>
  <r>
    <x v="30"/>
    <s v="MTN"/>
    <s v="POCOMTN"/>
    <n v="88701932.442013696"/>
  </r>
  <r>
    <x v="30"/>
    <s v="MTR"/>
    <s v="POCOMTR"/>
    <n v="33146405.807332441"/>
  </r>
  <r>
    <x v="30"/>
    <s v="NPL"/>
    <s v="POCONPL"/>
    <n v="82339686.966219798"/>
  </r>
  <r>
    <x v="30"/>
    <s v="OKN"/>
    <s v="POCOOKN"/>
    <n v="9800218.5764687676"/>
  </r>
  <r>
    <x v="30"/>
    <s v="OPK"/>
    <s v="POCOOPK"/>
    <n v="48709267.389793724"/>
  </r>
  <r>
    <x v="30"/>
    <s v="PAO"/>
    <s v="POCOPAO"/>
    <n v="185373741.57416004"/>
  </r>
  <r>
    <x v="30"/>
    <s v="SFD"/>
    <s v="POCOSFD"/>
    <n v="156498110.77252659"/>
  </r>
  <r>
    <x v="30"/>
    <s v="TGA"/>
    <s v="POCOTGA"/>
    <n v="531280109.77267301"/>
  </r>
  <r>
    <x v="30"/>
    <s v="TMI"/>
    <s v="POCOTMI"/>
    <n v="170998909.47131848"/>
  </r>
  <r>
    <x v="30"/>
    <s v="WGN"/>
    <s v="POCOWGN"/>
    <n v="145230416.93937498"/>
  </r>
  <r>
    <x v="30"/>
    <s v="WHU"/>
    <s v="POCOWHU"/>
    <n v="167488786.97759378"/>
  </r>
  <r>
    <x v="30"/>
    <s v="WKO"/>
    <s v="POCOWKO"/>
    <n v="179442105.64247385"/>
  </r>
  <r>
    <x v="30"/>
    <s v="WVY"/>
    <s v="POCOWVY"/>
    <n v="24618309.215961933"/>
  </r>
  <r>
    <x v="31"/>
    <s v="BAL"/>
    <s v="POWNBAL"/>
    <n v="167476269.24209169"/>
  </r>
  <r>
    <x v="31"/>
    <s v="EDN"/>
    <s v="POWNEDN"/>
    <n v="140833282.79062995"/>
  </r>
  <r>
    <x v="31"/>
    <s v="FKN"/>
    <s v="POWNFKN"/>
    <n v="22635682.34366031"/>
  </r>
  <r>
    <x v="31"/>
    <s v="GOR"/>
    <s v="POWNGOR"/>
    <n v="163406513.16348708"/>
  </r>
  <r>
    <x v="31"/>
    <s v="HWB"/>
    <s v="POWNHWB"/>
    <n v="33344359.667681992"/>
  </r>
  <r>
    <x v="31"/>
    <s v="INV"/>
    <s v="POWNINV"/>
    <n v="450780370.33188361"/>
  </r>
  <r>
    <x v="31"/>
    <s v="NMA"/>
    <s v="POWNNMA"/>
    <n v="281248251.8313899"/>
  </r>
  <r>
    <x v="31"/>
    <s v="NSY"/>
    <s v="POWNNSY"/>
    <n v="227522180.75671691"/>
  </r>
  <r>
    <x v="32"/>
    <s v="BDE"/>
    <s v="RAYNBDE"/>
    <n v="57918041.432570472"/>
  </r>
  <r>
    <x v="33"/>
    <s v="DVK"/>
    <s v="SCANDVK"/>
    <n v="69528035.760240346"/>
  </r>
  <r>
    <x v="33"/>
    <s v="WDV"/>
    <s v="SCANWDV"/>
    <n v="13044081.323195038"/>
  </r>
  <r>
    <x v="34"/>
    <s v="PEN"/>
    <s v="SHPKPEN"/>
    <n v="461368.45735014166"/>
  </r>
  <r>
    <x v="35"/>
    <s v="KAW"/>
    <s v="SKOGKAW"/>
    <n v="662943706.6193105"/>
  </r>
  <r>
    <x v="36"/>
    <s v="MAT"/>
    <s v="SOU2MAT"/>
    <n v="0"/>
  </r>
  <r>
    <x v="37"/>
    <s v="TWC"/>
    <s v="TARWTWC"/>
    <n v="569775.37250000087"/>
  </r>
  <r>
    <x v="38"/>
    <s v="KIK"/>
    <s v="TASMKIK"/>
    <n v="13172264.146645783"/>
  </r>
  <r>
    <x v="38"/>
    <s v="MCH"/>
    <s v="TASMMCH"/>
    <n v="11991233.315460527"/>
  </r>
  <r>
    <x v="38"/>
    <s v="STK"/>
    <s v="TASMSTK"/>
    <n v="725718046.07491219"/>
  </r>
  <r>
    <x v="39"/>
    <s v="KPA"/>
    <s v="TBOPKPA"/>
    <n v="47321030.380590074"/>
  </r>
  <r>
    <x v="39"/>
    <s v="JRD"/>
    <s v="TBOPJRD"/>
    <n v="0"/>
  </r>
  <r>
    <x v="39"/>
    <s v="MKE"/>
    <s v="TBOPMKE"/>
    <n v="767441.76568079402"/>
  </r>
  <r>
    <x v="40"/>
    <s v="KOE"/>
    <s v="TOPEKOE"/>
    <n v="358900599.67369318"/>
  </r>
  <r>
    <x v="41"/>
    <s v="BPE"/>
    <s v="TRNZBPE"/>
    <n v="3989803.4449992878"/>
  </r>
  <r>
    <x v="41"/>
    <s v="HAM"/>
    <s v="TRNZHAM"/>
    <n v="3617064.4895251538"/>
  </r>
  <r>
    <x v="41"/>
    <s v="PEN"/>
    <s v="TRNZPEN"/>
    <n v="16714230.994892713"/>
  </r>
  <r>
    <x v="41"/>
    <s v="SWN"/>
    <s v="TRNZSWN"/>
    <n v="17039418.767169837"/>
  </r>
  <r>
    <x v="41"/>
    <s v="TMN"/>
    <s v="TRNZTMN"/>
    <n v="4569150.3902354883"/>
  </r>
  <r>
    <x v="41"/>
    <s v="TNG"/>
    <s v="TRNZTNG"/>
    <n v="4744834.9499225058"/>
  </r>
  <r>
    <x v="42"/>
    <s v="ARG"/>
    <s v="TRUGARG"/>
    <n v="90643.803348956993"/>
  </r>
  <r>
    <x v="42"/>
    <s v="BWK"/>
    <s v="TRUGBWK"/>
    <n v="13360.375597737755"/>
  </r>
  <r>
    <x v="42"/>
    <s v="COL"/>
    <s v="TRUGCOL"/>
    <n v="6321.25"/>
  </r>
  <r>
    <x v="42"/>
    <s v="HWA"/>
    <s v="TRUGHWA"/>
    <n v="1799.3804599150535"/>
  </r>
  <r>
    <x v="42"/>
    <s v="MAT"/>
    <s v="TRUGMAT"/>
    <n v="0.25"/>
  </r>
  <r>
    <x v="43"/>
    <s v="CPK"/>
    <s v="UNETCPK"/>
    <n v="803664602.9185636"/>
  </r>
  <r>
    <x v="43"/>
    <s v="GFD"/>
    <s v="UNETGFD"/>
    <n v="275650238.25902796"/>
  </r>
  <r>
    <x v="43"/>
    <s v="HAY"/>
    <s v="UNETHAY"/>
    <n v="142362945.1771622"/>
  </r>
  <r>
    <x v="43"/>
    <s v="KWA"/>
    <s v="UNETKWA"/>
    <n v="151488767.79884976"/>
  </r>
  <r>
    <x v="43"/>
    <s v="MLG"/>
    <s v="UNETMLG"/>
    <n v="251421136.8500447"/>
  </r>
  <r>
    <x v="43"/>
    <s v="PNI"/>
    <s v="UNETPNI"/>
    <n v="68743797.730103672"/>
  </r>
  <r>
    <x v="43"/>
    <s v="TKR"/>
    <s v="UNETTKR"/>
    <n v="397367413.95651174"/>
  </r>
  <r>
    <x v="43"/>
    <s v="UHT"/>
    <s v="UNETUHT"/>
    <n v="127360808.10528105"/>
  </r>
  <r>
    <x v="43"/>
    <s v="WIL"/>
    <s v="UNETWIL"/>
    <n v="215281329.1286867"/>
  </r>
  <r>
    <x v="44"/>
    <s v="FHL"/>
    <s v="UNISFHL"/>
    <n v="274353652.46144283"/>
  </r>
  <r>
    <x v="44"/>
    <s v="OWH"/>
    <s v="UNISOWH"/>
    <n v="55347322.505206011"/>
  </r>
  <r>
    <x v="44"/>
    <s v="RDF"/>
    <s v="UNISRDF"/>
    <n v="295054321.93363166"/>
  </r>
  <r>
    <x v="44"/>
    <s v="ROT"/>
    <s v="UNISROT"/>
    <n v="352065191.36573982"/>
  </r>
  <r>
    <x v="44"/>
    <s v="TRK"/>
    <s v="UNISTRK"/>
    <n v="34781832.182185583"/>
  </r>
  <r>
    <x v="44"/>
    <s v="WRK"/>
    <s v="UNISWRK"/>
    <n v="243033499.72289044"/>
  </r>
  <r>
    <x v="44"/>
    <s v="WTU"/>
    <s v="UNISWTU"/>
    <n v="428499193.961573"/>
  </r>
  <r>
    <x v="45"/>
    <s v="ALB"/>
    <s v="VECTALB"/>
    <n v="917455554.19712305"/>
  </r>
  <r>
    <x v="45"/>
    <s v="HEN"/>
    <s v="VECTHEN"/>
    <n v="476256758.8167212"/>
  </r>
  <r>
    <x v="45"/>
    <s v="HEP"/>
    <s v="VECTHEP"/>
    <n v="632624326.0783174"/>
  </r>
  <r>
    <x v="45"/>
    <s v="HOB"/>
    <s v="VECTHOB"/>
    <n v="221633482.300087"/>
  </r>
  <r>
    <x v="45"/>
    <s v="LFD"/>
    <s v="VECTLFD"/>
    <n v="61438109.928188823"/>
  </r>
  <r>
    <x v="45"/>
    <s v="MNG"/>
    <s v="VECTMNG"/>
    <n v="628497058.39966214"/>
  </r>
  <r>
    <x v="45"/>
    <s v="OTA"/>
    <s v="VECTOTA"/>
    <n v="307349060.09679556"/>
  </r>
  <r>
    <x v="45"/>
    <s v="PAK"/>
    <s v="VECTPAK"/>
    <n v="621283728.17832673"/>
  </r>
  <r>
    <x v="45"/>
    <s v="PEN"/>
    <s v="VECTPEN"/>
    <n v="2299484511.4953012"/>
  </r>
  <r>
    <x v="45"/>
    <s v="ROS"/>
    <s v="VECTROS"/>
    <n v="695987890.3205353"/>
  </r>
  <r>
    <x v="45"/>
    <s v="SVL"/>
    <s v="VECTSVL"/>
    <n v="410969279.233877"/>
  </r>
  <r>
    <x v="45"/>
    <s v="TAK"/>
    <s v="VECTTAK"/>
    <n v="513406638.18472797"/>
  </r>
  <r>
    <x v="45"/>
    <s v="WEL"/>
    <s v="VECTWEL"/>
    <n v="161835760.39084077"/>
  </r>
  <r>
    <x v="45"/>
    <s v="WIR"/>
    <s v="VECTWIR"/>
    <n v="473777311.78788495"/>
  </r>
  <r>
    <x v="45"/>
    <s v="WRD"/>
    <s v="VECTWRD"/>
    <n v="289225655.58229518"/>
  </r>
  <r>
    <x v="46"/>
    <s v="CBG"/>
    <s v="WAIPCBG"/>
    <n v="216666547.87643343"/>
  </r>
  <r>
    <x v="46"/>
    <s v="TMU"/>
    <s v="WAIPTMU"/>
    <n v="186769967.60984966"/>
  </r>
  <r>
    <x v="47"/>
    <s v="BPT"/>
    <s v="WATABPT"/>
    <n v="21358459.124202482"/>
  </r>
  <r>
    <x v="47"/>
    <s v="OAM"/>
    <s v="WATAOAM"/>
    <n v="200144638.87848723"/>
  </r>
  <r>
    <x v="47"/>
    <s v="TWZ"/>
    <s v="WATATWZ"/>
    <n v="11985260.980906678"/>
  </r>
  <r>
    <x v="47"/>
    <s v="WTK"/>
    <s v="WATAWTK"/>
    <n v="28987812.531477563"/>
  </r>
  <r>
    <x v="48"/>
    <s v="WVY"/>
    <s v="WAV1WVY"/>
    <n v="0"/>
  </r>
  <r>
    <x v="49"/>
    <s v="HAM"/>
    <s v="WELEHAM"/>
    <n v="733835733.07198071"/>
  </r>
  <r>
    <x v="49"/>
    <s v="HLY"/>
    <s v="WELEHLY"/>
    <n v="123719255.68606712"/>
  </r>
  <r>
    <x v="49"/>
    <s v="MER"/>
    <s v="WELEMER"/>
    <n v="399471.45715294901"/>
  </r>
  <r>
    <x v="49"/>
    <s v="TWH"/>
    <s v="WELETWH"/>
    <n v="514968887.10756654"/>
  </r>
  <r>
    <x v="50"/>
    <s v="TNG"/>
    <s v="WNSTTNG"/>
    <n v="240503969.75198984"/>
  </r>
  <r>
    <x v="51"/>
    <s v="ATU"/>
    <s v="WPOWATU"/>
    <n v="1865104.3559094134"/>
  </r>
  <r>
    <x v="51"/>
    <s v="DOB"/>
    <s v="WPOWDOB"/>
    <n v="43678492.39713233"/>
  </r>
  <r>
    <x v="51"/>
    <s v="GYM"/>
    <s v="WPOWGYM"/>
    <n v="57207894.887412287"/>
  </r>
  <r>
    <x v="51"/>
    <s v="HKK"/>
    <s v="WPOWHKK"/>
    <n v="113427746.98492704"/>
  </r>
  <r>
    <x v="51"/>
    <s v="KUM"/>
    <s v="WPOWKUM"/>
    <n v="8118401.2875930602"/>
  </r>
  <r>
    <x v="51"/>
    <s v="OTI"/>
    <s v="WPOWOTI"/>
    <n v="1504576.10688252"/>
  </r>
  <r>
    <x v="51"/>
    <s v="RFN"/>
    <s v="WPOWRFN"/>
    <n v="26934197.291649047"/>
  </r>
  <r>
    <x v="52"/>
    <s v="HTI"/>
    <s v="WTOMHTI"/>
    <n v="209234858.51162958"/>
  </r>
  <r>
    <x v="52"/>
    <s v="NPK"/>
    <s v="WTOMNPK"/>
    <n v="17432104.189480565"/>
  </r>
  <r>
    <x v="52"/>
    <s v="OKN"/>
    <s v="WTOMOKN"/>
    <n v="19064913.276332669"/>
  </r>
  <r>
    <x v="52"/>
    <s v="ONG"/>
    <s v="WTOMONG"/>
    <n v="47014813.842174768"/>
  </r>
  <r>
    <x v="52"/>
    <s v="TNG"/>
    <s v="WTOMTNG"/>
    <n v="21332.625951468937"/>
  </r>
  <r>
    <x v="52"/>
    <s v="TKU"/>
    <s v="WTOMTKU"/>
    <n v="34758197.62987083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A281640-16EA-43F3-A6F3-4B43ABE939F1}" name="PivotTable2"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B280:C333" firstHeaderRow="1" firstDataRow="1" firstDataCol="1"/>
  <pivotFields count="4">
    <pivotField axis="axisRow" showAll="0">
      <items count="57">
        <item x="0"/>
        <item x="1"/>
        <item x="2"/>
        <item x="3"/>
        <item x="4"/>
        <item x="5"/>
        <item x="6"/>
        <item x="7"/>
        <item x="8"/>
        <item x="9"/>
        <item x="10"/>
        <item x="11"/>
        <item x="12"/>
        <item m="1" x="53"/>
        <item x="13"/>
        <item x="14"/>
        <item x="15"/>
        <item x="16"/>
        <item x="17"/>
        <item x="18"/>
        <item x="19"/>
        <item x="20"/>
        <item x="21"/>
        <item x="22"/>
        <item x="23"/>
        <item x="24"/>
        <item x="25"/>
        <item x="26"/>
        <item x="27"/>
        <item x="28"/>
        <item x="29"/>
        <item x="30"/>
        <item x="31"/>
        <item x="32"/>
        <item x="33"/>
        <item m="1" x="54"/>
        <item x="34"/>
        <item x="35"/>
        <item m="1" x="55"/>
        <item x="36"/>
        <item x="37"/>
        <item x="38"/>
        <item x="39"/>
        <item x="40"/>
        <item x="41"/>
        <item x="42"/>
        <item x="43"/>
        <item x="44"/>
        <item x="45"/>
        <item x="46"/>
        <item x="47"/>
        <item x="48"/>
        <item x="49"/>
        <item x="50"/>
        <item x="51"/>
        <item x="52"/>
        <item t="default"/>
      </items>
    </pivotField>
    <pivotField showAll="0"/>
    <pivotField showAll="0"/>
    <pivotField dataField="1" numFmtId="43" showAll="0"/>
  </pivotFields>
  <rowFields count="1">
    <field x="0"/>
  </rowFields>
  <rowItems count="53">
    <i>
      <x/>
    </i>
    <i>
      <x v="1"/>
    </i>
    <i>
      <x v="2"/>
    </i>
    <i>
      <x v="3"/>
    </i>
    <i>
      <x v="4"/>
    </i>
    <i>
      <x v="5"/>
    </i>
    <i>
      <x v="6"/>
    </i>
    <i>
      <x v="7"/>
    </i>
    <i>
      <x v="8"/>
    </i>
    <i>
      <x v="9"/>
    </i>
    <i>
      <x v="10"/>
    </i>
    <i>
      <x v="11"/>
    </i>
    <i>
      <x v="12"/>
    </i>
    <i>
      <x v="14"/>
    </i>
    <i>
      <x v="15"/>
    </i>
    <i>
      <x v="16"/>
    </i>
    <i>
      <x v="17"/>
    </i>
    <i>
      <x v="18"/>
    </i>
    <i>
      <x v="19"/>
    </i>
    <i>
      <x v="20"/>
    </i>
    <i>
      <x v="21"/>
    </i>
    <i>
      <x v="22"/>
    </i>
    <i>
      <x v="23"/>
    </i>
    <i>
      <x v="24"/>
    </i>
    <i>
      <x v="25"/>
    </i>
    <i>
      <x v="26"/>
    </i>
    <i>
      <x v="27"/>
    </i>
    <i>
      <x v="28"/>
    </i>
    <i>
      <x v="29"/>
    </i>
    <i>
      <x v="30"/>
    </i>
    <i>
      <x v="31"/>
    </i>
    <i>
      <x v="32"/>
    </i>
    <i>
      <x v="33"/>
    </i>
    <i>
      <x v="34"/>
    </i>
    <i>
      <x v="36"/>
    </i>
    <i>
      <x v="37"/>
    </i>
    <i>
      <x v="39"/>
    </i>
    <i>
      <x v="40"/>
    </i>
    <i>
      <x v="41"/>
    </i>
    <i>
      <x v="42"/>
    </i>
    <i>
      <x v="43"/>
    </i>
    <i>
      <x v="44"/>
    </i>
    <i>
      <x v="45"/>
    </i>
    <i>
      <x v="46"/>
    </i>
    <i>
      <x v="47"/>
    </i>
    <i>
      <x v="48"/>
    </i>
    <i>
      <x v="49"/>
    </i>
    <i>
      <x v="50"/>
    </i>
    <i>
      <x v="51"/>
    </i>
    <i>
      <x v="52"/>
    </i>
    <i>
      <x v="53"/>
    </i>
    <i>
      <x v="54"/>
    </i>
    <i>
      <x v="55"/>
    </i>
  </rowItems>
  <colItems count="1">
    <i/>
  </colItems>
  <dataFields count="1">
    <dataField name="Sum of Lagged Annual average Total Gross Energy (LATGE)" fld="3" baseField="0" baseItem="0" numFmtId="164"/>
  </dataFields>
  <formats count="5">
    <format dxfId="4">
      <pivotArea outline="0" collapsedLevelsAreSubtotals="1" fieldPosition="0"/>
    </format>
    <format dxfId="3">
      <pivotArea outline="0" collapsedLevelsAreSubtotals="1" fieldPosition="0"/>
    </format>
    <format dxfId="2">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
      <pivotArea dataOnly="0" labelOnly="1" fieldPosition="0">
        <references count="1">
          <reference field="0" count="6">
            <x v="50"/>
            <x v="51"/>
            <x v="52"/>
            <x v="53"/>
            <x v="54"/>
            <x v="55"/>
          </reference>
        </references>
      </pivotArea>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Authority theme">
  <a:themeElements>
    <a:clrScheme name="Electricity Authority">
      <a:dk1>
        <a:sysClr val="windowText" lastClr="000000"/>
      </a:dk1>
      <a:lt1>
        <a:sysClr val="window" lastClr="FFFFFF"/>
      </a:lt1>
      <a:dk2>
        <a:srgbClr val="693370"/>
      </a:dk2>
      <a:lt2>
        <a:srgbClr val="7DD4DE"/>
      </a:lt2>
      <a:accent1>
        <a:srgbClr val="002749"/>
      </a:accent1>
      <a:accent2>
        <a:srgbClr val="AECF93"/>
      </a:accent2>
      <a:accent3>
        <a:srgbClr val="D1D2AB"/>
      </a:accent3>
      <a:accent4>
        <a:srgbClr val="E2E589"/>
      </a:accent4>
      <a:accent5>
        <a:srgbClr val="F2F3E8"/>
      </a:accent5>
      <a:accent6>
        <a:srgbClr val="1A6DAD"/>
      </a:accent6>
      <a:hlink>
        <a:srgbClr val="002749"/>
      </a:hlink>
      <a:folHlink>
        <a:srgbClr val="1A6DAD"/>
      </a:folHlink>
    </a:clrScheme>
    <a:fontScheme name="CCS">
      <a:majorFont>
        <a:latin typeface="Arial Bold"/>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FA22-8286-427C-B9ED-B8DBF9E67B93}">
  <sheetPr>
    <tabColor theme="0" tint="-0.249977111117893"/>
    <pageSetUpPr fitToPage="1"/>
  </sheetPr>
  <dimension ref="B1:F21"/>
  <sheetViews>
    <sheetView view="pageBreakPreview" zoomScaleNormal="100" zoomScaleSheetLayoutView="100" workbookViewId="0"/>
  </sheetViews>
  <sheetFormatPr defaultColWidth="8.5" defaultRowHeight="14.25" x14ac:dyDescent="0.2"/>
  <cols>
    <col min="1" max="2" width="8.5" style="7"/>
    <col min="3" max="3" width="37.25" style="7" customWidth="1"/>
    <col min="4" max="4" width="8.5" style="7" customWidth="1"/>
    <col min="5" max="5" width="9.25" style="7" customWidth="1"/>
    <col min="6" max="16384" width="8.5" style="7"/>
  </cols>
  <sheetData>
    <row r="1" spans="2:6" ht="15" x14ac:dyDescent="0.25">
      <c r="B1" s="8" t="s">
        <v>0</v>
      </c>
    </row>
    <row r="11" spans="2:6" ht="57" customHeight="1" x14ac:dyDescent="0.2">
      <c r="C11" s="126" t="s">
        <v>1</v>
      </c>
      <c r="D11" s="126"/>
      <c r="E11" s="126"/>
      <c r="F11" s="126"/>
    </row>
    <row r="12" spans="2:6" ht="20.25" x14ac:dyDescent="0.2">
      <c r="C12" s="110" t="s">
        <v>2</v>
      </c>
    </row>
    <row r="13" spans="2:6" ht="20.25" x14ac:dyDescent="0.2">
      <c r="C13" s="9"/>
    </row>
    <row r="15" spans="2:6" ht="27" x14ac:dyDescent="0.2">
      <c r="C15" s="10"/>
    </row>
    <row r="17" spans="3:4" ht="15.75" x14ac:dyDescent="0.2">
      <c r="C17" s="111" t="s">
        <v>3</v>
      </c>
      <c r="D17" s="111" t="s">
        <v>4</v>
      </c>
    </row>
    <row r="18" spans="3:4" ht="15.75" x14ac:dyDescent="0.2">
      <c r="C18" s="111" t="s">
        <v>5</v>
      </c>
      <c r="D18" s="111" t="s">
        <v>6</v>
      </c>
    </row>
    <row r="21" spans="3:4" ht="15" x14ac:dyDescent="0.2">
      <c r="C21" s="11"/>
    </row>
  </sheetData>
  <mergeCells count="1">
    <mergeCell ref="C11:F11"/>
  </mergeCells>
  <pageMargins left="0.7" right="0.7" top="0.75" bottom="0.75" header="0.3" footer="0.3"/>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59A30-0829-4BCE-BBFE-975123AB9711}">
  <sheetPr>
    <tabColor theme="0" tint="-0.249977111117893"/>
  </sheetPr>
  <dimension ref="A1:C35"/>
  <sheetViews>
    <sheetView showGridLines="0" zoomScale="85" zoomScaleNormal="85" workbookViewId="0"/>
  </sheetViews>
  <sheetFormatPr defaultRowHeight="14.25" x14ac:dyDescent="0.2"/>
  <cols>
    <col min="1" max="1" width="3.875" customWidth="1"/>
  </cols>
  <sheetData>
    <row r="1" spans="1:3" ht="27.75" x14ac:dyDescent="0.4">
      <c r="A1" s="113" t="s">
        <v>7</v>
      </c>
      <c r="B1" s="112"/>
    </row>
    <row r="3" spans="1:3" ht="15" x14ac:dyDescent="0.25">
      <c r="A3" s="4" t="s">
        <v>8</v>
      </c>
    </row>
    <row r="4" spans="1:3" ht="15" x14ac:dyDescent="0.25">
      <c r="A4" s="4"/>
    </row>
    <row r="5" spans="1:3" x14ac:dyDescent="0.2">
      <c r="B5" s="76" t="s">
        <v>9</v>
      </c>
    </row>
    <row r="6" spans="1:3" x14ac:dyDescent="0.2">
      <c r="B6" s="76"/>
    </row>
    <row r="7" spans="1:3" ht="15" x14ac:dyDescent="0.2">
      <c r="B7" s="116" t="s">
        <v>10</v>
      </c>
      <c r="C7" t="s">
        <v>11</v>
      </c>
    </row>
    <row r="8" spans="1:3" x14ac:dyDescent="0.2">
      <c r="C8" s="78" t="s">
        <v>12</v>
      </c>
    </row>
    <row r="9" spans="1:3" x14ac:dyDescent="0.2">
      <c r="C9" s="78"/>
    </row>
    <row r="10" spans="1:3" ht="15" x14ac:dyDescent="0.2">
      <c r="B10" s="116" t="s">
        <v>13</v>
      </c>
      <c r="C10" s="78" t="s">
        <v>14</v>
      </c>
    </row>
    <row r="13" spans="1:3" ht="15" x14ac:dyDescent="0.25">
      <c r="A13" s="4" t="s">
        <v>15</v>
      </c>
    </row>
    <row r="15" spans="1:3" ht="15" x14ac:dyDescent="0.2">
      <c r="B15" s="76" t="s">
        <v>16</v>
      </c>
    </row>
    <row r="16" spans="1:3" x14ac:dyDescent="0.2">
      <c r="B16" s="77" t="s">
        <v>17</v>
      </c>
    </row>
    <row r="17" spans="2:2" x14ac:dyDescent="0.2">
      <c r="B17" s="77" t="s">
        <v>18</v>
      </c>
    </row>
    <row r="18" spans="2:2" x14ac:dyDescent="0.2">
      <c r="B18" s="77" t="s">
        <v>19</v>
      </c>
    </row>
    <row r="19" spans="2:2" x14ac:dyDescent="0.2">
      <c r="B19" s="77" t="s">
        <v>20</v>
      </c>
    </row>
    <row r="21" spans="2:2" ht="15" x14ac:dyDescent="0.2">
      <c r="B21" s="76" t="s">
        <v>21</v>
      </c>
    </row>
    <row r="22" spans="2:2" x14ac:dyDescent="0.2">
      <c r="B22" s="76"/>
    </row>
    <row r="23" spans="2:2" x14ac:dyDescent="0.2">
      <c r="B23" s="76" t="s">
        <v>22</v>
      </c>
    </row>
    <row r="24" spans="2:2" x14ac:dyDescent="0.2">
      <c r="B24" s="77" t="s">
        <v>23</v>
      </c>
    </row>
    <row r="25" spans="2:2" ht="5.25" customHeight="1" x14ac:dyDescent="0.2"/>
    <row r="26" spans="2:2" x14ac:dyDescent="0.2">
      <c r="B26" s="77" t="s">
        <v>24</v>
      </c>
    </row>
    <row r="27" spans="2:2" x14ac:dyDescent="0.2">
      <c r="B27" s="77" t="s">
        <v>25</v>
      </c>
    </row>
    <row r="28" spans="2:2" ht="4.5" customHeight="1" x14ac:dyDescent="0.2"/>
    <row r="29" spans="2:2" x14ac:dyDescent="0.2">
      <c r="B29" s="77" t="s">
        <v>26</v>
      </c>
    </row>
    <row r="30" spans="2:2" x14ac:dyDescent="0.2">
      <c r="B30" s="77" t="s">
        <v>27</v>
      </c>
    </row>
    <row r="31" spans="2:2" ht="3.75" customHeight="1" x14ac:dyDescent="0.2"/>
    <row r="32" spans="2:2" x14ac:dyDescent="0.2">
      <c r="B32" s="77" t="s">
        <v>28</v>
      </c>
    </row>
    <row r="33" spans="2:2" x14ac:dyDescent="0.2">
      <c r="B33" s="92" t="s">
        <v>29</v>
      </c>
    </row>
    <row r="34" spans="2:2" x14ac:dyDescent="0.2">
      <c r="B34" s="92" t="s">
        <v>30</v>
      </c>
    </row>
    <row r="35" spans="2:2" x14ac:dyDescent="0.2">
      <c r="B35" s="92"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1D2A0-9D36-4ECF-AF6C-0DF8051C8AF0}">
  <sheetPr>
    <tabColor theme="5" tint="-0.499984740745262"/>
  </sheetPr>
  <dimension ref="B7"/>
  <sheetViews>
    <sheetView showGridLines="0" topLeftCell="A4" workbookViewId="0">
      <selection activeCell="A4" sqref="A4"/>
    </sheetView>
  </sheetViews>
  <sheetFormatPr defaultRowHeight="14.25" x14ac:dyDescent="0.2"/>
  <sheetData>
    <row r="7" spans="2:2" x14ac:dyDescent="0.2">
      <c r="B7" s="115" t="s">
        <v>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F3668-A1DA-41BE-BA32-A4CB6E17999C}">
  <sheetPr>
    <tabColor theme="5" tint="-0.249977111117893"/>
  </sheetPr>
  <dimension ref="A1:U107"/>
  <sheetViews>
    <sheetView showGridLines="0" tabSelected="1" topLeftCell="A56" zoomScale="55" zoomScaleNormal="55" workbookViewId="0">
      <selection activeCell="U91" sqref="U91"/>
    </sheetView>
  </sheetViews>
  <sheetFormatPr defaultRowHeight="14.25" x14ac:dyDescent="0.2"/>
  <cols>
    <col min="1" max="1" width="22" customWidth="1"/>
    <col min="2" max="2" width="23.875" customWidth="1"/>
    <col min="3" max="3" width="20.125" customWidth="1"/>
    <col min="4" max="4" width="18.375" customWidth="1"/>
    <col min="5" max="5" width="11.875" customWidth="1"/>
    <col min="6" max="7" width="18.5" customWidth="1"/>
    <col min="8" max="8" width="20.375" customWidth="1"/>
    <col min="9" max="9" width="18" customWidth="1"/>
    <col min="10" max="10" width="6.5" customWidth="1"/>
    <col min="11" max="11" width="24.125" customWidth="1"/>
    <col min="12" max="12" width="21.5" customWidth="1"/>
    <col min="13" max="13" width="21" customWidth="1"/>
    <col min="14" max="17" width="18" customWidth="1"/>
    <col min="19" max="19" width="22.25" customWidth="1"/>
    <col min="20" max="20" width="29" customWidth="1"/>
    <col min="21" max="21" width="36.25" customWidth="1"/>
  </cols>
  <sheetData>
    <row r="1" spans="1:21" ht="27.75" x14ac:dyDescent="0.4">
      <c r="A1" s="113" t="s">
        <v>33</v>
      </c>
    </row>
    <row r="6" spans="1:21" ht="23.25" x14ac:dyDescent="0.2">
      <c r="A6" s="36" t="s">
        <v>34</v>
      </c>
      <c r="B6" s="34"/>
      <c r="C6" s="34"/>
      <c r="D6" s="34"/>
      <c r="E6" s="34"/>
      <c r="F6" s="34"/>
      <c r="G6" s="34"/>
      <c r="H6" s="34"/>
      <c r="I6" s="34"/>
      <c r="J6" s="34"/>
      <c r="K6" s="34"/>
      <c r="L6" s="34"/>
      <c r="M6" s="34"/>
      <c r="N6" s="34"/>
      <c r="O6" s="34"/>
      <c r="P6" s="34"/>
      <c r="Q6" s="34"/>
      <c r="R6" s="34"/>
      <c r="S6" s="34"/>
      <c r="T6" s="34"/>
      <c r="U6" s="34"/>
    </row>
    <row r="8" spans="1:21" ht="20.25" x14ac:dyDescent="0.3">
      <c r="F8" s="47" t="s">
        <v>35</v>
      </c>
      <c r="K8" s="47" t="s">
        <v>36</v>
      </c>
    </row>
    <row r="9" spans="1:21" ht="90" x14ac:dyDescent="0.2">
      <c r="A9" s="21" t="str">
        <f>'Calculations - Part 1'!A138</f>
        <v>Customer code</v>
      </c>
      <c r="B9" s="21" t="str">
        <f>'Calculations - Part 1'!B138</f>
        <v>Customer name</v>
      </c>
      <c r="C9" s="21" t="str">
        <f>'Calculations - Part 1'!C138</f>
        <v>Customer type</v>
      </c>
      <c r="D9" s="62" t="str">
        <f>'Calculations - Part 1'!D138</f>
        <v xml:space="preserve">Additional gross energy (kWh) </v>
      </c>
      <c r="E9" s="86" t="str">
        <f>'Calculations - Part 1'!E138</f>
        <v>x</v>
      </c>
      <c r="F9" s="62" t="str">
        <f>'Calculations - Part 1'!F138</f>
        <v>AMDR (kW) (using conversion factor formula with individual conversion factors)</v>
      </c>
      <c r="G9" s="62" t="str">
        <f>'Calculations - Part 1'!G138</f>
        <v>Residual charge rate ($/kW)</v>
      </c>
      <c r="H9" s="62" t="str">
        <f>'Calculations - Part 1'!H138</f>
        <v>Annual residual charge (ARC) ($)</v>
      </c>
      <c r="I9" s="62" t="str">
        <f>'Calculations - Part 1'!I138</f>
        <v>SQ - incremental annual residual charge for additional scenario load ($)</v>
      </c>
      <c r="J9" s="86" t="str">
        <f>'Calculations - Part 1'!J138</f>
        <v>x</v>
      </c>
      <c r="K9" s="62" t="str">
        <f>'Calculations - Part 1'!K138</f>
        <v>AMDR (kW) (using conversion factor formula with individual conversion factors)</v>
      </c>
      <c r="L9" s="62" t="str">
        <f>'Calculations - Part 1'!L138</f>
        <v>AMDR (kW) (using conversion factor formula with uniform conversion factor)</v>
      </c>
      <c r="M9" s="62" t="str">
        <f>'Calculations - Part 1'!M138</f>
        <v>Ratio of LATGEn: ATGEbaseline</v>
      </c>
      <c r="N9" s="62" t="str">
        <f>'Calculations - Part 1'!N138</f>
        <v>AMDR (kW) (using conversion factor formula with uniform conversion factor)</v>
      </c>
      <c r="O9" s="62" t="str">
        <f>'Calculations - Part 1'!O138</f>
        <v>Residual charge rate ($/kW)</v>
      </c>
      <c r="P9" s="62" t="str">
        <f>'Calculations - Part 1'!P138</f>
        <v>Annual residual charge (ARC) ($)</v>
      </c>
      <c r="Q9" s="62" t="str">
        <f>'Calculations - Part 1'!Q138</f>
        <v>Alternative- incremental annual residual charge for additional scenario load ($)</v>
      </c>
      <c r="S9" s="21" t="s">
        <v>37</v>
      </c>
      <c r="T9" s="21" t="str">
        <f>I9</f>
        <v>SQ - incremental annual residual charge for additional scenario load ($)</v>
      </c>
      <c r="U9" s="21" t="str">
        <f>N9</f>
        <v>AMDR (kW) (using conversion factor formula with uniform conversion factor)</v>
      </c>
    </row>
    <row r="10" spans="1:21" x14ac:dyDescent="0.2">
      <c r="A10" s="5" t="str" cm="1">
        <f t="array" ref="A10:Q36">_xlfn._xlws.FILTER('Calculations - Part 1'!$A$139:$Q$193,'Calculations - Part 1'!$C$139:$C$193=$A$6)</f>
        <v>Alpine Energy Ltd</v>
      </c>
      <c r="B10" s="5" t="str">
        <v>ALPE</v>
      </c>
      <c r="C10" s="5" t="str">
        <v>Lines Business</v>
      </c>
      <c r="D10" s="13">
        <v>10000000</v>
      </c>
      <c r="E10" s="87">
        <v>0</v>
      </c>
      <c r="F10" s="23">
        <v>159864.54057404766</v>
      </c>
      <c r="G10" s="51">
        <v>54.532348720038577</v>
      </c>
      <c r="H10" s="23">
        <v>8717788.874552723</v>
      </c>
      <c r="I10" s="23">
        <v>106647.21713436767</v>
      </c>
      <c r="J10" s="88">
        <v>0</v>
      </c>
      <c r="K10" s="23">
        <v>159864.54057404766</v>
      </c>
      <c r="L10" s="23">
        <v>159940.46835424498</v>
      </c>
      <c r="M10" s="23">
        <v>1</v>
      </c>
      <c r="N10" s="23">
        <v>159940.46835424498</v>
      </c>
      <c r="O10" s="23">
        <v>54.53234872003857</v>
      </c>
      <c r="P10" s="23">
        <v>8721929.3947399799</v>
      </c>
      <c r="Q10" s="23">
        <v>110787.73732162453</v>
      </c>
      <c r="S10" s="5" t="str">
        <f>A10</f>
        <v>Alpine Energy Ltd</v>
      </c>
      <c r="T10" s="13">
        <f>I10</f>
        <v>106647.21713436767</v>
      </c>
      <c r="U10" s="39"/>
    </row>
    <row r="11" spans="1:21" x14ac:dyDescent="0.2">
      <c r="A11" s="5" t="str">
        <v>Aurora Energy Limited</v>
      </c>
      <c r="B11" s="5" t="str">
        <v>DUNE</v>
      </c>
      <c r="C11" s="5" t="str">
        <v>Lines Business</v>
      </c>
      <c r="D11" s="13">
        <v>10000000</v>
      </c>
      <c r="E11" s="87">
        <v>0</v>
      </c>
      <c r="F11" s="23">
        <v>316766.08299039258</v>
      </c>
      <c r="G11" s="51">
        <v>54.532348720038577</v>
      </c>
      <c r="H11" s="23">
        <v>17273998.500312768</v>
      </c>
      <c r="I11" s="23">
        <v>122751.37938989326</v>
      </c>
      <c r="J11" s="88">
        <v>0</v>
      </c>
      <c r="K11" s="23">
        <v>316766.08299039258</v>
      </c>
      <c r="L11" s="23">
        <v>316546.69683980354</v>
      </c>
      <c r="M11" s="23">
        <v>1</v>
      </c>
      <c r="N11" s="23">
        <v>316546.69683980354</v>
      </c>
      <c r="O11" s="23">
        <v>54.53234872003857</v>
      </c>
      <c r="P11" s="23">
        <v>17262034.858244497</v>
      </c>
      <c r="Q11" s="23">
        <v>110787.73732162267</v>
      </c>
      <c r="S11" s="5" t="str">
        <f t="shared" ref="S11:S36" si="0">A11</f>
        <v>Aurora Energy Limited</v>
      </c>
      <c r="T11" s="13">
        <f t="shared" ref="T11:T36" si="1">I11</f>
        <v>122751.37938989326</v>
      </c>
      <c r="U11" s="39"/>
    </row>
    <row r="12" spans="1:21" x14ac:dyDescent="0.2">
      <c r="A12" s="5" t="str">
        <v>Buller Electricity Ltd</v>
      </c>
      <c r="B12" s="5" t="str">
        <v>BUEL</v>
      </c>
      <c r="C12" s="5" t="str">
        <v>Lines Business</v>
      </c>
      <c r="D12" s="13">
        <v>10000000</v>
      </c>
      <c r="E12" s="87">
        <v>0</v>
      </c>
      <c r="F12" s="23">
        <v>14489.589683389137</v>
      </c>
      <c r="G12" s="51">
        <v>54.532348720038577</v>
      </c>
      <c r="H12" s="23">
        <v>790151.35742484976</v>
      </c>
      <c r="I12" s="23">
        <v>105369.75556538592</v>
      </c>
      <c r="J12" s="88">
        <v>0</v>
      </c>
      <c r="K12" s="23">
        <v>14489.589683389137</v>
      </c>
      <c r="L12" s="23">
        <v>14588.943220939027</v>
      </c>
      <c r="M12" s="23">
        <v>1</v>
      </c>
      <c r="N12" s="23">
        <v>14588.943220939027</v>
      </c>
      <c r="O12" s="23">
        <v>54.53234872003857</v>
      </c>
      <c r="P12" s="23">
        <v>795569.33918108977</v>
      </c>
      <c r="Q12" s="23">
        <v>110787.73732162593</v>
      </c>
      <c r="S12" s="5" t="str">
        <f t="shared" si="0"/>
        <v>Buller Electricity Ltd</v>
      </c>
      <c r="T12" s="13">
        <f t="shared" si="1"/>
        <v>105369.75556538592</v>
      </c>
      <c r="U12" s="39"/>
    </row>
    <row r="13" spans="1:21" x14ac:dyDescent="0.2">
      <c r="A13" s="5" t="str">
        <v>Centralines Limited</v>
      </c>
      <c r="B13" s="5" t="str">
        <v>CHBP</v>
      </c>
      <c r="C13" s="5" t="str">
        <v>Lines Business</v>
      </c>
      <c r="D13" s="13">
        <v>10000000</v>
      </c>
      <c r="E13" s="87">
        <v>0</v>
      </c>
      <c r="F13" s="23">
        <v>22156.150308954617</v>
      </c>
      <c r="G13" s="51">
        <v>54.532348720038577</v>
      </c>
      <c r="H13" s="23">
        <v>1208226.9149415037</v>
      </c>
      <c r="I13" s="23">
        <v>95705.567560598254</v>
      </c>
      <c r="J13" s="88">
        <v>0</v>
      </c>
      <c r="K13" s="23">
        <v>22156.150308954617</v>
      </c>
      <c r="L13" s="23">
        <v>22432.723207702431</v>
      </c>
      <c r="M13" s="23">
        <v>1</v>
      </c>
      <c r="N13" s="23">
        <v>22432.723207702431</v>
      </c>
      <c r="O13" s="23">
        <v>54.53234872003857</v>
      </c>
      <c r="P13" s="23">
        <v>1223309.0847025311</v>
      </c>
      <c r="Q13" s="23">
        <v>110787.7373216257</v>
      </c>
      <c r="S13" s="5" t="str">
        <f t="shared" si="0"/>
        <v>Centralines Limited</v>
      </c>
      <c r="T13" s="13">
        <f t="shared" si="1"/>
        <v>95705.567560598254</v>
      </c>
      <c r="U13" s="39"/>
    </row>
    <row r="14" spans="1:21" x14ac:dyDescent="0.2">
      <c r="A14" s="5" t="str">
        <v>Counties Energy Ltd</v>
      </c>
      <c r="B14" s="5" t="str">
        <v>COUP</v>
      </c>
      <c r="C14" s="5" t="str">
        <v>Lines Business</v>
      </c>
      <c r="D14" s="13">
        <v>10000000</v>
      </c>
      <c r="E14" s="87">
        <v>0</v>
      </c>
      <c r="F14" s="23">
        <v>127758.94717174271</v>
      </c>
      <c r="G14" s="51">
        <v>54.532348720038577</v>
      </c>
      <c r="H14" s="23">
        <v>6966995.4592744596</v>
      </c>
      <c r="I14" s="23">
        <v>115217.38868152909</v>
      </c>
      <c r="J14" s="88">
        <v>0</v>
      </c>
      <c r="K14" s="23">
        <v>127758.94717174271</v>
      </c>
      <c r="L14" s="23">
        <v>127677.71737944742</v>
      </c>
      <c r="M14" s="23">
        <v>1</v>
      </c>
      <c r="N14" s="23">
        <v>127677.71737944742</v>
      </c>
      <c r="O14" s="23">
        <v>54.53234872003857</v>
      </c>
      <c r="P14" s="23">
        <v>6962565.807914556</v>
      </c>
      <c r="Q14" s="23">
        <v>110787.73732162546</v>
      </c>
      <c r="S14" s="5" t="str">
        <f t="shared" si="0"/>
        <v>Counties Energy Ltd</v>
      </c>
      <c r="T14" s="13">
        <f t="shared" si="1"/>
        <v>115217.38868152909</v>
      </c>
      <c r="U14" s="39"/>
    </row>
    <row r="15" spans="1:21" x14ac:dyDescent="0.2">
      <c r="A15" s="5" t="str">
        <v>EA Networks</v>
      </c>
      <c r="B15" s="5" t="str">
        <v>EASH</v>
      </c>
      <c r="C15" s="5" t="str">
        <v>Lines Business</v>
      </c>
      <c r="D15" s="13">
        <v>10000000</v>
      </c>
      <c r="E15" s="87">
        <v>0</v>
      </c>
      <c r="F15" s="23">
        <v>167067.23396449952</v>
      </c>
      <c r="G15" s="51">
        <v>54.532348720038577</v>
      </c>
      <c r="H15" s="23">
        <v>9110568.6622443609</v>
      </c>
      <c r="I15" s="23">
        <v>147983.59642258286</v>
      </c>
      <c r="J15" s="88">
        <v>0</v>
      </c>
      <c r="K15" s="23">
        <v>167067.23396449952</v>
      </c>
      <c r="L15" s="23">
        <v>166385.14599334105</v>
      </c>
      <c r="M15" s="23">
        <v>1</v>
      </c>
      <c r="N15" s="23">
        <v>166385.14599334105</v>
      </c>
      <c r="O15" s="23">
        <v>54.53234872003857</v>
      </c>
      <c r="P15" s="23">
        <v>9073372.8031434026</v>
      </c>
      <c r="Q15" s="23">
        <v>110787.73732162453</v>
      </c>
      <c r="S15" s="5" t="str">
        <f t="shared" si="0"/>
        <v>EA Networks</v>
      </c>
      <c r="T15" s="13">
        <f t="shared" si="1"/>
        <v>147983.59642258286</v>
      </c>
      <c r="U15" s="39"/>
    </row>
    <row r="16" spans="1:21" x14ac:dyDescent="0.2">
      <c r="A16" s="5" t="str">
        <v>Electra Limited</v>
      </c>
      <c r="B16" s="5" t="str">
        <v>HORO</v>
      </c>
      <c r="C16" s="5" t="str">
        <v>Lines Business</v>
      </c>
      <c r="D16" s="13">
        <v>10000000</v>
      </c>
      <c r="E16" s="87">
        <v>0</v>
      </c>
      <c r="F16" s="23">
        <v>113687.55448166016</v>
      </c>
      <c r="G16" s="51">
        <v>54.532348720038577</v>
      </c>
      <c r="H16" s="23">
        <v>6199649.3661222765</v>
      </c>
      <c r="I16" s="23">
        <v>137287.84834987205</v>
      </c>
      <c r="J16" s="88">
        <v>0</v>
      </c>
      <c r="K16" s="23">
        <v>113687.55448166016</v>
      </c>
      <c r="L16" s="23">
        <v>113201.60235140636</v>
      </c>
      <c r="M16" s="23">
        <v>1</v>
      </c>
      <c r="N16" s="23">
        <v>113201.60235140636</v>
      </c>
      <c r="O16" s="23">
        <v>54.53234872003857</v>
      </c>
      <c r="P16" s="23">
        <v>6173149.2550940299</v>
      </c>
      <c r="Q16" s="23">
        <v>110787.73732162546</v>
      </c>
      <c r="S16" s="5" t="str">
        <f t="shared" si="0"/>
        <v>Electra Limited</v>
      </c>
      <c r="T16" s="13">
        <f t="shared" si="1"/>
        <v>137287.84834987205</v>
      </c>
      <c r="U16" s="39"/>
    </row>
    <row r="17" spans="1:21" x14ac:dyDescent="0.2">
      <c r="A17" s="5" t="str">
        <v>Firstlight Network Limited</v>
      </c>
      <c r="B17" s="5" t="str">
        <v>EAST</v>
      </c>
      <c r="C17" s="5" t="str">
        <v>Lines Business</v>
      </c>
      <c r="D17" s="13">
        <v>10000000</v>
      </c>
      <c r="E17" s="87">
        <v>0</v>
      </c>
      <c r="F17" s="23">
        <v>62297.228885179735</v>
      </c>
      <c r="G17" s="51">
        <v>54.532348720038577</v>
      </c>
      <c r="H17" s="23">
        <v>3397214.2098586815</v>
      </c>
      <c r="I17" s="23">
        <v>107362.84373814799</v>
      </c>
      <c r="J17" s="88">
        <v>0</v>
      </c>
      <c r="K17" s="23">
        <v>62297.228885179735</v>
      </c>
      <c r="L17" s="23">
        <v>62360.033691205252</v>
      </c>
      <c r="M17" s="23">
        <v>1</v>
      </c>
      <c r="N17" s="23">
        <v>62360.033691205252</v>
      </c>
      <c r="O17" s="23">
        <v>54.53234872003857</v>
      </c>
      <c r="P17" s="23">
        <v>3400639.103442159</v>
      </c>
      <c r="Q17" s="23">
        <v>110787.73732162546</v>
      </c>
      <c r="S17" s="5" t="str">
        <f t="shared" si="0"/>
        <v>Firstlight Network Limited</v>
      </c>
      <c r="T17" s="13">
        <f t="shared" si="1"/>
        <v>107362.84373814799</v>
      </c>
      <c r="U17" s="39"/>
    </row>
    <row r="18" spans="1:21" x14ac:dyDescent="0.2">
      <c r="A18" s="5" t="str">
        <v>Horizon Energy Distribution Ltd</v>
      </c>
      <c r="B18" s="5" t="str">
        <v>HRZE</v>
      </c>
      <c r="C18" s="5" t="str">
        <v>Lines Business</v>
      </c>
      <c r="D18" s="13">
        <v>10000000</v>
      </c>
      <c r="E18" s="87">
        <v>0</v>
      </c>
      <c r="F18" s="23">
        <v>95764.006948457609</v>
      </c>
      <c r="G18" s="51">
        <v>54.532348720038577</v>
      </c>
      <c r="H18" s="23">
        <v>5222236.2217414873</v>
      </c>
      <c r="I18" s="23">
        <v>98625.653318826109</v>
      </c>
      <c r="J18" s="88">
        <v>0</v>
      </c>
      <c r="K18" s="23">
        <v>95764.006948457609</v>
      </c>
      <c r="L18" s="23">
        <v>95987.032075529205</v>
      </c>
      <c r="M18" s="23">
        <v>1</v>
      </c>
      <c r="N18" s="23">
        <v>95987.032075529205</v>
      </c>
      <c r="O18" s="23">
        <v>54.53234872003857</v>
      </c>
      <c r="P18" s="23">
        <v>5234398.3057442866</v>
      </c>
      <c r="Q18" s="23">
        <v>110787.73732162546</v>
      </c>
      <c r="S18" s="5" t="str">
        <f t="shared" si="0"/>
        <v>Horizon Energy Distribution Ltd</v>
      </c>
      <c r="T18" s="13">
        <f t="shared" si="1"/>
        <v>98625.653318826109</v>
      </c>
      <c r="U18" s="39"/>
    </row>
    <row r="19" spans="1:21" x14ac:dyDescent="0.2">
      <c r="A19" s="5" t="str">
        <v>Mainpower New Zealand Limited</v>
      </c>
      <c r="B19" s="5" t="str">
        <v>MPOW</v>
      </c>
      <c r="C19" s="5" t="str">
        <v>Lines Business</v>
      </c>
      <c r="D19" s="13">
        <v>10000000</v>
      </c>
      <c r="E19" s="87">
        <v>0</v>
      </c>
      <c r="F19" s="23">
        <v>135778.25129815709</v>
      </c>
      <c r="G19" s="51">
        <v>54.532348720038577</v>
      </c>
      <c r="H19" s="23">
        <v>7404306.9483881332</v>
      </c>
      <c r="I19" s="23">
        <v>113629.11892842408</v>
      </c>
      <c r="J19" s="88">
        <v>0</v>
      </c>
      <c r="K19" s="23">
        <v>135778.25129815709</v>
      </c>
      <c r="L19" s="23">
        <v>135726.14678269994</v>
      </c>
      <c r="M19" s="23">
        <v>1</v>
      </c>
      <c r="N19" s="23">
        <v>135726.14678269994</v>
      </c>
      <c r="O19" s="23">
        <v>54.53234872003857</v>
      </c>
      <c r="P19" s="23">
        <v>7401465.5667813346</v>
      </c>
      <c r="Q19" s="23">
        <v>110787.73732162546</v>
      </c>
      <c r="S19" s="5" t="str">
        <f t="shared" si="0"/>
        <v>Mainpower New Zealand Limited</v>
      </c>
      <c r="T19" s="13">
        <f t="shared" si="1"/>
        <v>113629.11892842408</v>
      </c>
      <c r="U19" s="39"/>
    </row>
    <row r="20" spans="1:21" x14ac:dyDescent="0.2">
      <c r="A20" s="5" t="str">
        <v>Marlborough Lines Limited</v>
      </c>
      <c r="B20" s="5" t="str">
        <v>MARL</v>
      </c>
      <c r="C20" s="5" t="str">
        <v>Lines Business</v>
      </c>
      <c r="D20" s="13">
        <v>10000000</v>
      </c>
      <c r="E20" s="87">
        <v>0</v>
      </c>
      <c r="F20" s="23">
        <v>75402.313294276726</v>
      </c>
      <c r="G20" s="51">
        <v>54.532348720038577</v>
      </c>
      <c r="H20" s="23">
        <v>4111865.2428610991</v>
      </c>
      <c r="I20" s="23">
        <v>99861.770882290788</v>
      </c>
      <c r="J20" s="88">
        <v>0</v>
      </c>
      <c r="K20" s="23">
        <v>75402.313294276726</v>
      </c>
      <c r="L20" s="23">
        <v>75602.670819594903</v>
      </c>
      <c r="M20" s="23">
        <v>1</v>
      </c>
      <c r="N20" s="23">
        <v>75602.670819594903</v>
      </c>
      <c r="O20" s="23">
        <v>54.53234872003857</v>
      </c>
      <c r="P20" s="23">
        <v>4122791.2093004333</v>
      </c>
      <c r="Q20" s="23">
        <v>110787.737321625</v>
      </c>
      <c r="S20" s="5" t="str">
        <f t="shared" si="0"/>
        <v>Marlborough Lines Limited</v>
      </c>
      <c r="T20" s="13">
        <f t="shared" si="1"/>
        <v>99861.770882290788</v>
      </c>
      <c r="U20" s="39"/>
    </row>
    <row r="21" spans="1:21" x14ac:dyDescent="0.2">
      <c r="A21" s="5" t="str">
        <v>Nelson Electricity Ltd</v>
      </c>
      <c r="B21" s="5" t="str">
        <v>NELS</v>
      </c>
      <c r="C21" s="5" t="str">
        <v>Lines Business</v>
      </c>
      <c r="D21" s="13">
        <v>10000000</v>
      </c>
      <c r="E21" s="87">
        <v>0</v>
      </c>
      <c r="F21" s="23">
        <v>16670.886606987882</v>
      </c>
      <c r="G21" s="51">
        <v>54.532348720038577</v>
      </c>
      <c r="H21" s="23">
        <v>909102.6019244839</v>
      </c>
      <c r="I21" s="23">
        <v>146463.20304880443</v>
      </c>
      <c r="J21" s="88">
        <v>0</v>
      </c>
      <c r="K21" s="23">
        <v>16670.886606987882</v>
      </c>
      <c r="L21" s="23">
        <v>16016.679213311676</v>
      </c>
      <c r="M21" s="23">
        <v>1</v>
      </c>
      <c r="N21" s="23">
        <v>16016.679213311676</v>
      </c>
      <c r="O21" s="23">
        <v>54.53234872003857</v>
      </c>
      <c r="P21" s="23">
        <v>873427.1361973054</v>
      </c>
      <c r="Q21" s="23">
        <v>110787.73732162593</v>
      </c>
      <c r="S21" s="5" t="str">
        <f t="shared" si="0"/>
        <v>Nelson Electricity Ltd</v>
      </c>
      <c r="T21" s="13">
        <f t="shared" si="1"/>
        <v>146463.20304880443</v>
      </c>
      <c r="U21" s="39"/>
    </row>
    <row r="22" spans="1:21" x14ac:dyDescent="0.2">
      <c r="A22" s="5" t="str">
        <v>Network Tasman Limited</v>
      </c>
      <c r="B22" s="5" t="str">
        <v>TASM</v>
      </c>
      <c r="C22" s="5" t="str">
        <v>Lines Business</v>
      </c>
      <c r="D22" s="13">
        <v>10000000</v>
      </c>
      <c r="E22" s="87">
        <v>0</v>
      </c>
      <c r="F22" s="23">
        <v>148689.29344468526</v>
      </c>
      <c r="G22" s="51">
        <v>54.532348720038577</v>
      </c>
      <c r="H22" s="23">
        <v>8108376.401061723</v>
      </c>
      <c r="I22" s="23">
        <v>106565.55504513066</v>
      </c>
      <c r="J22" s="88">
        <v>0</v>
      </c>
      <c r="K22" s="23">
        <v>148689.29344468526</v>
      </c>
      <c r="L22" s="23">
        <v>148766.71872299432</v>
      </c>
      <c r="M22" s="23">
        <v>1</v>
      </c>
      <c r="N22" s="23">
        <v>148766.71872299432</v>
      </c>
      <c r="O22" s="23">
        <v>54.53234872003857</v>
      </c>
      <c r="P22" s="23">
        <v>8112598.5833382178</v>
      </c>
      <c r="Q22" s="23">
        <v>110787.73732162546</v>
      </c>
      <c r="S22" s="5" t="str">
        <f t="shared" si="0"/>
        <v>Network Tasman Limited</v>
      </c>
      <c r="T22" s="13">
        <f t="shared" si="1"/>
        <v>106565.55504513066</v>
      </c>
      <c r="U22" s="39">
        <f>Q22</f>
        <v>110787.73732162546</v>
      </c>
    </row>
    <row r="23" spans="1:21" x14ac:dyDescent="0.2">
      <c r="A23" s="5" t="str">
        <v>Network Waitaki Limited</v>
      </c>
      <c r="B23" s="5" t="str">
        <v>WATA</v>
      </c>
      <c r="C23" s="5" t="str">
        <v>Lines Business</v>
      </c>
      <c r="D23" s="13">
        <v>10000000</v>
      </c>
      <c r="E23" s="87">
        <v>0</v>
      </c>
      <c r="F23" s="23">
        <v>66141.394174806104</v>
      </c>
      <c r="G23" s="51">
        <v>54.532348720038577</v>
      </c>
      <c r="H23" s="23">
        <v>3606845.5719700549</v>
      </c>
      <c r="I23" s="23">
        <v>132372.88060510345</v>
      </c>
      <c r="J23" s="88">
        <v>0</v>
      </c>
      <c r="K23" s="23">
        <v>66141.394174806104</v>
      </c>
      <c r="L23" s="23">
        <v>65745.571442242494</v>
      </c>
      <c r="M23" s="23">
        <v>1</v>
      </c>
      <c r="N23" s="23">
        <v>65745.571442242494</v>
      </c>
      <c r="O23" s="23">
        <v>54.53234872003857</v>
      </c>
      <c r="P23" s="23">
        <v>3585260.4286865769</v>
      </c>
      <c r="Q23" s="23">
        <v>110787.73732162546</v>
      </c>
      <c r="S23" s="5" t="str">
        <f t="shared" si="0"/>
        <v>Network Waitaki Limited</v>
      </c>
      <c r="T23" s="13">
        <f t="shared" si="1"/>
        <v>132372.88060510345</v>
      </c>
      <c r="U23" s="39"/>
    </row>
    <row r="24" spans="1:21" x14ac:dyDescent="0.2">
      <c r="A24" s="5" t="str">
        <v>Northpower Limited</v>
      </c>
      <c r="B24" s="5" t="str">
        <v>NPOW</v>
      </c>
      <c r="C24" s="5" t="str">
        <v>Lines Business</v>
      </c>
      <c r="D24" s="13">
        <v>10000000</v>
      </c>
      <c r="E24" s="87">
        <v>0</v>
      </c>
      <c r="F24" s="23">
        <v>182822.71594011973</v>
      </c>
      <c r="G24" s="51">
        <v>54.532348720038577</v>
      </c>
      <c r="H24" s="23">
        <v>9969752.0995911639</v>
      </c>
      <c r="I24" s="23">
        <v>89394.830246733502</v>
      </c>
      <c r="J24" s="88">
        <v>0</v>
      </c>
      <c r="K24" s="23">
        <v>182822.71594011973</v>
      </c>
      <c r="L24" s="23">
        <v>183215.01349518599</v>
      </c>
      <c r="M24" s="23">
        <v>1</v>
      </c>
      <c r="N24" s="23">
        <v>183215.01349518599</v>
      </c>
      <c r="O24" s="23">
        <v>54.53234872003857</v>
      </c>
      <c r="P24" s="23">
        <v>9991145.0066660549</v>
      </c>
      <c r="Q24" s="23">
        <v>110787.73732162453</v>
      </c>
      <c r="S24" s="5" t="str">
        <f t="shared" si="0"/>
        <v>Northpower Limited</v>
      </c>
      <c r="T24" s="13">
        <f t="shared" si="1"/>
        <v>89394.830246733502</v>
      </c>
      <c r="U24" s="39"/>
    </row>
    <row r="25" spans="1:21" x14ac:dyDescent="0.2">
      <c r="A25" s="5" t="str">
        <v>Orion New Zealand Limited</v>
      </c>
      <c r="B25" s="5" t="str">
        <v>ORON</v>
      </c>
      <c r="C25" s="5" t="str">
        <v>Lines Business</v>
      </c>
      <c r="D25" s="13">
        <v>10000000</v>
      </c>
      <c r="E25" s="87">
        <v>0</v>
      </c>
      <c r="F25" s="23">
        <v>755387.09288955678</v>
      </c>
      <c r="G25" s="51">
        <v>54.532348720038577</v>
      </c>
      <c r="H25" s="23">
        <v>41193032.368069485</v>
      </c>
      <c r="I25" s="23">
        <v>124551.58476214111</v>
      </c>
      <c r="J25" s="88">
        <v>0</v>
      </c>
      <c r="K25" s="23">
        <v>755387.09288955678</v>
      </c>
      <c r="L25" s="23">
        <v>755134.69504197512</v>
      </c>
      <c r="M25" s="23">
        <v>1</v>
      </c>
      <c r="N25" s="23">
        <v>755134.69504197512</v>
      </c>
      <c r="O25" s="23">
        <v>54.53234872003857</v>
      </c>
      <c r="P25" s="23">
        <v>41179268.520628966</v>
      </c>
      <c r="Q25" s="23">
        <v>110787.73732162267</v>
      </c>
      <c r="S25" s="5" t="str">
        <f t="shared" si="0"/>
        <v>Orion New Zealand Limited</v>
      </c>
      <c r="T25" s="13">
        <f t="shared" si="1"/>
        <v>124551.58476214111</v>
      </c>
      <c r="U25" s="39"/>
    </row>
    <row r="26" spans="1:21" x14ac:dyDescent="0.2">
      <c r="A26" s="5" t="str">
        <v>Powerco Limited</v>
      </c>
      <c r="B26" s="5" t="str">
        <v>POCO</v>
      </c>
      <c r="C26" s="5" t="str">
        <v>Lines Business</v>
      </c>
      <c r="D26" s="13">
        <v>10000000</v>
      </c>
      <c r="E26" s="87">
        <v>0</v>
      </c>
      <c r="F26" s="23">
        <v>1041733.4142221623</v>
      </c>
      <c r="G26" s="51">
        <v>54.532348720038577</v>
      </c>
      <c r="H26" s="23">
        <v>56808169.817679353</v>
      </c>
      <c r="I26" s="23">
        <v>111076.86347029358</v>
      </c>
      <c r="J26" s="88">
        <v>0</v>
      </c>
      <c r="K26" s="23">
        <v>1041733.4142221623</v>
      </c>
      <c r="L26" s="23">
        <v>1041728.1123021928</v>
      </c>
      <c r="M26" s="23">
        <v>1</v>
      </c>
      <c r="N26" s="23">
        <v>1041728.1123021928</v>
      </c>
      <c r="O26" s="23">
        <v>54.53234872003857</v>
      </c>
      <c r="P26" s="23">
        <v>56807880.691530682</v>
      </c>
      <c r="Q26" s="23">
        <v>110787.73732162267</v>
      </c>
      <c r="S26" s="5" t="str">
        <f t="shared" si="0"/>
        <v>Powerco Limited</v>
      </c>
      <c r="T26" s="13">
        <f t="shared" si="1"/>
        <v>111076.86347029358</v>
      </c>
      <c r="U26" s="39"/>
    </row>
    <row r="27" spans="1:21" x14ac:dyDescent="0.2">
      <c r="A27" s="5" t="str">
        <v>Powernet Ltd</v>
      </c>
      <c r="B27" s="5" t="str">
        <v>POWN</v>
      </c>
      <c r="C27" s="5" t="str">
        <v>Lines Business</v>
      </c>
      <c r="D27" s="13">
        <v>10000000</v>
      </c>
      <c r="E27" s="87">
        <v>0</v>
      </c>
      <c r="F27" s="23">
        <v>283280.88043431344</v>
      </c>
      <c r="G27" s="51">
        <v>54.532348720038577</v>
      </c>
      <c r="H27" s="23">
        <v>15447971.757563533</v>
      </c>
      <c r="I27" s="23">
        <v>103175.84663606063</v>
      </c>
      <c r="J27" s="88">
        <v>0</v>
      </c>
      <c r="K27" s="23">
        <v>283280.88043431344</v>
      </c>
      <c r="L27" s="23">
        <v>283420.46530208876</v>
      </c>
      <c r="M27" s="23">
        <v>1</v>
      </c>
      <c r="N27" s="23">
        <v>283420.46530208876</v>
      </c>
      <c r="O27" s="23">
        <v>54.53234872003857</v>
      </c>
      <c r="P27" s="23">
        <v>15455583.648249095</v>
      </c>
      <c r="Q27" s="23">
        <v>110787.73732162267</v>
      </c>
      <c r="S27" s="5" t="str">
        <f t="shared" si="0"/>
        <v>Powernet Ltd</v>
      </c>
      <c r="T27" s="13">
        <f t="shared" si="1"/>
        <v>103175.84663606063</v>
      </c>
      <c r="U27" s="39"/>
    </row>
    <row r="28" spans="1:21" x14ac:dyDescent="0.2">
      <c r="A28" s="5" t="str">
        <v>Scanpower Limited</v>
      </c>
      <c r="B28" s="5" t="str">
        <v>SCAN</v>
      </c>
      <c r="C28" s="5" t="str">
        <v>Lines Business</v>
      </c>
      <c r="D28" s="13">
        <v>10000000</v>
      </c>
      <c r="E28" s="87">
        <v>0</v>
      </c>
      <c r="F28" s="23">
        <v>16968.930043161323</v>
      </c>
      <c r="G28" s="51">
        <v>54.532348720038577</v>
      </c>
      <c r="H28" s="23">
        <v>925355.61051961256</v>
      </c>
      <c r="I28" s="23">
        <v>99960.510753533803</v>
      </c>
      <c r="J28" s="88">
        <v>0</v>
      </c>
      <c r="K28" s="23">
        <v>16968.930043161323</v>
      </c>
      <c r="L28" s="23">
        <v>17167.476902451715</v>
      </c>
      <c r="M28" s="23">
        <v>1</v>
      </c>
      <c r="N28" s="23">
        <v>17167.476902451715</v>
      </c>
      <c r="O28" s="23">
        <v>54.53234872003857</v>
      </c>
      <c r="P28" s="23">
        <v>936182.83708770457</v>
      </c>
      <c r="Q28" s="23">
        <v>110787.73732162581</v>
      </c>
      <c r="S28" s="5" t="str">
        <f t="shared" si="0"/>
        <v>Scanpower Limited</v>
      </c>
      <c r="T28" s="13">
        <f t="shared" si="1"/>
        <v>99960.510753533803</v>
      </c>
      <c r="U28" s="39"/>
    </row>
    <row r="29" spans="1:21" x14ac:dyDescent="0.2">
      <c r="A29" s="5" t="str">
        <v>The Lines Company Ltd</v>
      </c>
      <c r="B29" s="5" t="str">
        <v>WTOM</v>
      </c>
      <c r="C29" s="5" t="str">
        <v>Lines Business</v>
      </c>
      <c r="D29" s="13">
        <v>10000000</v>
      </c>
      <c r="E29" s="87">
        <v>0</v>
      </c>
      <c r="F29" s="23">
        <v>79754.025961695152</v>
      </c>
      <c r="G29" s="51">
        <v>54.532348720038577</v>
      </c>
      <c r="H29" s="23">
        <v>4349174.3555701701</v>
      </c>
      <c r="I29" s="23">
        <v>128854.41476511396</v>
      </c>
      <c r="J29" s="88">
        <v>0</v>
      </c>
      <c r="K29" s="23">
        <v>79754.025961695152</v>
      </c>
      <c r="L29" s="23">
        <v>79422.72393881256</v>
      </c>
      <c r="M29" s="23">
        <v>1</v>
      </c>
      <c r="N29" s="23">
        <v>79422.72393881256</v>
      </c>
      <c r="O29" s="23">
        <v>54.53234872003857</v>
      </c>
      <c r="P29" s="23">
        <v>4331107.6781266816</v>
      </c>
      <c r="Q29" s="23">
        <v>110787.73732162546</v>
      </c>
      <c r="S29" s="5" t="str">
        <f t="shared" si="0"/>
        <v>The Lines Company Ltd</v>
      </c>
      <c r="T29" s="13">
        <f t="shared" si="1"/>
        <v>128854.41476511396</v>
      </c>
      <c r="U29" s="39"/>
    </row>
    <row r="30" spans="1:21" x14ac:dyDescent="0.2">
      <c r="A30" s="5" t="str">
        <v>Top Energy Ltd</v>
      </c>
      <c r="B30" s="5" t="str">
        <v>TOPE</v>
      </c>
      <c r="C30" s="5" t="str">
        <v>Lines Business</v>
      </c>
      <c r="D30" s="13">
        <v>10000000</v>
      </c>
      <c r="E30" s="87">
        <v>0</v>
      </c>
      <c r="F30" s="23">
        <v>71725.617253611781</v>
      </c>
      <c r="G30" s="51">
        <v>54.532348720038577</v>
      </c>
      <c r="H30" s="23">
        <v>3911366.3722339734</v>
      </c>
      <c r="I30" s="23">
        <v>106027.65015003271</v>
      </c>
      <c r="J30" s="88">
        <v>0</v>
      </c>
      <c r="K30" s="23">
        <v>71725.617253611781</v>
      </c>
      <c r="L30" s="23">
        <v>71812.9064917121</v>
      </c>
      <c r="M30" s="23">
        <v>1</v>
      </c>
      <c r="N30" s="23">
        <v>71812.9064917121</v>
      </c>
      <c r="O30" s="23">
        <v>54.53234872003857</v>
      </c>
      <c r="P30" s="23">
        <v>3916126.4594055656</v>
      </c>
      <c r="Q30" s="23">
        <v>110787.737321625</v>
      </c>
      <c r="S30" s="5" t="str">
        <f t="shared" si="0"/>
        <v>Top Energy Ltd</v>
      </c>
      <c r="T30" s="13">
        <f t="shared" si="1"/>
        <v>106027.65015003271</v>
      </c>
      <c r="U30" s="39"/>
    </row>
    <row r="31" spans="1:21" x14ac:dyDescent="0.2">
      <c r="A31" s="5" t="str">
        <v>Unison Networks Limited</v>
      </c>
      <c r="B31" s="5" t="str">
        <v>UNIS</v>
      </c>
      <c r="C31" s="5" t="str">
        <v>Lines Business</v>
      </c>
      <c r="D31" s="13">
        <v>10000000</v>
      </c>
      <c r="E31" s="87">
        <v>0</v>
      </c>
      <c r="F31" s="23">
        <v>365512.13125025172</v>
      </c>
      <c r="G31" s="51">
        <v>54.532348720038577</v>
      </c>
      <c r="H31" s="23">
        <v>19932235.002743237</v>
      </c>
      <c r="I31" s="23">
        <v>117723.83676651865</v>
      </c>
      <c r="J31" s="88">
        <v>0</v>
      </c>
      <c r="K31" s="23">
        <v>365512.13125025172</v>
      </c>
      <c r="L31" s="23">
        <v>365384.93886614038</v>
      </c>
      <c r="M31" s="23">
        <v>1</v>
      </c>
      <c r="N31" s="23">
        <v>365384.93886614038</v>
      </c>
      <c r="O31" s="23">
        <v>54.53234872003857</v>
      </c>
      <c r="P31" s="23">
        <v>19925298.903298341</v>
      </c>
      <c r="Q31" s="23">
        <v>110787.73732162267</v>
      </c>
      <c r="S31" s="5" t="str">
        <f t="shared" si="0"/>
        <v>Unison Networks Limited</v>
      </c>
      <c r="T31" s="13">
        <f t="shared" si="1"/>
        <v>117723.83676651865</v>
      </c>
      <c r="U31" s="39"/>
    </row>
    <row r="32" spans="1:21" x14ac:dyDescent="0.2">
      <c r="A32" s="5" t="str">
        <v>Vector Limited</v>
      </c>
      <c r="B32" s="5" t="str">
        <v>VECT</v>
      </c>
      <c r="C32" s="5" t="str">
        <v>Lines Business</v>
      </c>
      <c r="D32" s="13">
        <v>10000000</v>
      </c>
      <c r="E32" s="87">
        <v>0</v>
      </c>
      <c r="F32" s="23">
        <v>1991809.3514445645</v>
      </c>
      <c r="G32" s="51">
        <v>54.532348720038577</v>
      </c>
      <c r="H32" s="23">
        <v>108618042.13680887</v>
      </c>
      <c r="I32" s="23">
        <v>124544.47692856193</v>
      </c>
      <c r="J32" s="88">
        <v>0</v>
      </c>
      <c r="K32" s="23">
        <v>1991809.3514445645</v>
      </c>
      <c r="L32" s="23">
        <v>1991557.0839385828</v>
      </c>
      <c r="M32" s="23">
        <v>1</v>
      </c>
      <c r="N32" s="23">
        <v>1991557.0839385828</v>
      </c>
      <c r="O32" s="23">
        <v>54.53234872003857</v>
      </c>
      <c r="P32" s="23">
        <v>108604285.39720193</v>
      </c>
      <c r="Q32" s="23">
        <v>110787.73732161522</v>
      </c>
      <c r="S32" s="5" t="str">
        <f t="shared" si="0"/>
        <v>Vector Limited</v>
      </c>
      <c r="T32" s="13">
        <f t="shared" si="1"/>
        <v>124544.47692856193</v>
      </c>
      <c r="U32" s="39"/>
    </row>
    <row r="33" spans="1:21" x14ac:dyDescent="0.2">
      <c r="A33" s="5" t="str">
        <v>Waipa Networks Limited</v>
      </c>
      <c r="B33" s="5" t="str">
        <v>WAIP</v>
      </c>
      <c r="C33" s="5" t="str">
        <v>Lines Business</v>
      </c>
      <c r="D33" s="13">
        <v>10000000</v>
      </c>
      <c r="E33" s="87">
        <v>0</v>
      </c>
      <c r="F33" s="23">
        <v>77368.226805981394</v>
      </c>
      <c r="G33" s="51">
        <v>54.532348720038577</v>
      </c>
      <c r="H33" s="23">
        <v>4219071.1240348136</v>
      </c>
      <c r="I33" s="23">
        <v>102048.82650658814</v>
      </c>
      <c r="J33" s="88">
        <v>0</v>
      </c>
      <c r="K33" s="23">
        <v>77368.226805981394</v>
      </c>
      <c r="L33" s="23">
        <v>77528.478675195787</v>
      </c>
      <c r="M33" s="23">
        <v>1</v>
      </c>
      <c r="N33" s="23">
        <v>77528.478675195787</v>
      </c>
      <c r="O33" s="23">
        <v>54.53234872003857</v>
      </c>
      <c r="P33" s="23">
        <v>4227810.0348498505</v>
      </c>
      <c r="Q33" s="23">
        <v>110787.737321625</v>
      </c>
      <c r="S33" s="5" t="str">
        <f t="shared" si="0"/>
        <v>Waipa Networks Limited</v>
      </c>
      <c r="T33" s="13">
        <f t="shared" si="1"/>
        <v>102048.82650658814</v>
      </c>
      <c r="U33" s="39"/>
    </row>
    <row r="34" spans="1:21" x14ac:dyDescent="0.2">
      <c r="A34" s="5" t="str">
        <v>WEL Networks Limited</v>
      </c>
      <c r="B34" s="5" t="str">
        <v>WELE</v>
      </c>
      <c r="C34" s="5" t="str">
        <v>Lines Business</v>
      </c>
      <c r="D34" s="13">
        <v>10000000</v>
      </c>
      <c r="E34" s="87">
        <v>0</v>
      </c>
      <c r="F34" s="23">
        <v>296680.23089190287</v>
      </c>
      <c r="G34" s="51">
        <v>54.532348720038577</v>
      </c>
      <c r="H34" s="23">
        <v>16178669.80933881</v>
      </c>
      <c r="I34" s="23">
        <v>116988.91222466715</v>
      </c>
      <c r="J34" s="88">
        <v>0</v>
      </c>
      <c r="K34" s="23">
        <v>296680.23089190287</v>
      </c>
      <c r="L34" s="23">
        <v>296566.51536252274</v>
      </c>
      <c r="M34" s="23">
        <v>1</v>
      </c>
      <c r="N34" s="23">
        <v>296566.51536252274</v>
      </c>
      <c r="O34" s="23">
        <v>54.53234872003857</v>
      </c>
      <c r="P34" s="23">
        <v>16172468.634435765</v>
      </c>
      <c r="Q34" s="23">
        <v>110787.73732162267</v>
      </c>
      <c r="S34" s="5" t="str">
        <f t="shared" si="0"/>
        <v>WEL Networks Limited</v>
      </c>
      <c r="T34" s="13">
        <f t="shared" si="1"/>
        <v>116988.91222466715</v>
      </c>
      <c r="U34" s="39"/>
    </row>
    <row r="35" spans="1:21" x14ac:dyDescent="0.2">
      <c r="A35" s="5" t="str">
        <v>Wellington Electricity Lines Limited</v>
      </c>
      <c r="B35" s="5" t="str">
        <v>UNET</v>
      </c>
      <c r="C35" s="5" t="str">
        <v>Lines Business</v>
      </c>
      <c r="D35" s="13">
        <v>10000000</v>
      </c>
      <c r="E35" s="87">
        <v>0</v>
      </c>
      <c r="F35" s="23">
        <v>569657.73709440487</v>
      </c>
      <c r="G35" s="51">
        <v>54.532348720038577</v>
      </c>
      <c r="H35" s="23">
        <v>31064774.37030014</v>
      </c>
      <c r="I35" s="23">
        <v>127140.55820575729</v>
      </c>
      <c r="J35" s="88">
        <v>0</v>
      </c>
      <c r="K35" s="23">
        <v>569657.73709440487</v>
      </c>
      <c r="L35" s="23">
        <v>569357.8633264862</v>
      </c>
      <c r="M35" s="23">
        <v>1</v>
      </c>
      <c r="N35" s="23">
        <v>569357.8633264862</v>
      </c>
      <c r="O35" s="23">
        <v>54.53234872003857</v>
      </c>
      <c r="P35" s="23">
        <v>31048421.549416006</v>
      </c>
      <c r="Q35" s="23">
        <v>110787.73732162267</v>
      </c>
      <c r="S35" s="5" t="str">
        <f t="shared" si="0"/>
        <v>Wellington Electricity Lines Limited</v>
      </c>
      <c r="T35" s="13">
        <f t="shared" si="1"/>
        <v>127140.55820575729</v>
      </c>
      <c r="U35" s="39"/>
    </row>
    <row r="36" spans="1:21" x14ac:dyDescent="0.2">
      <c r="A36" s="5" t="str">
        <v>Westpower Limited</v>
      </c>
      <c r="B36" s="5" t="str">
        <v>WPOW</v>
      </c>
      <c r="C36" s="5" t="str">
        <v>Lines Business</v>
      </c>
      <c r="D36" s="13">
        <v>10000000</v>
      </c>
      <c r="E36" s="87">
        <v>0</v>
      </c>
      <c r="F36" s="23">
        <v>55491.950449740187</v>
      </c>
      <c r="G36" s="51">
        <v>54.532348720038577</v>
      </c>
      <c r="H36" s="23">
        <v>3026106.3930803332</v>
      </c>
      <c r="I36" s="23">
        <v>115176.51302838279</v>
      </c>
      <c r="J36" s="88">
        <v>0</v>
      </c>
      <c r="K36" s="23">
        <v>55491.950449740187</v>
      </c>
      <c r="L36" s="23">
        <v>55411.470224520315</v>
      </c>
      <c r="M36" s="23">
        <v>1</v>
      </c>
      <c r="N36" s="23">
        <v>55411.470224520315</v>
      </c>
      <c r="O36" s="23">
        <v>54.53234872003857</v>
      </c>
      <c r="P36" s="23">
        <v>3021717.6173735759</v>
      </c>
      <c r="Q36" s="23">
        <v>110787.73732162546</v>
      </c>
      <c r="S36" s="5" t="str">
        <f t="shared" si="0"/>
        <v>Westpower Limited</v>
      </c>
      <c r="T36" s="13">
        <f t="shared" si="1"/>
        <v>115176.51302838279</v>
      </c>
      <c r="U36" s="39"/>
    </row>
    <row r="38" spans="1:21" ht="15" x14ac:dyDescent="0.25">
      <c r="S38" s="37" t="s">
        <v>38</v>
      </c>
      <c r="T38" s="122">
        <f>MIN(T10:T36)</f>
        <v>89394.830246733502</v>
      </c>
      <c r="U38" s="81"/>
    </row>
    <row r="39" spans="1:21" ht="15" x14ac:dyDescent="0.25">
      <c r="S39" s="41" t="s">
        <v>39</v>
      </c>
      <c r="T39" s="120">
        <f>MEDIAN(T10:T36)</f>
        <v>113629.11892842408</v>
      </c>
      <c r="U39" s="42">
        <f>MEDIAN(U10:U36)</f>
        <v>110787.73732162546</v>
      </c>
    </row>
    <row r="40" spans="1:21" ht="15" x14ac:dyDescent="0.25">
      <c r="S40" s="37" t="s">
        <v>40</v>
      </c>
      <c r="T40" s="122">
        <f>MAX(T10:T36)</f>
        <v>147983.59642258286</v>
      </c>
    </row>
    <row r="53" spans="1:21" ht="23.25" x14ac:dyDescent="0.2">
      <c r="A53" s="36" t="s">
        <v>41</v>
      </c>
      <c r="B53" s="34"/>
      <c r="C53" s="34"/>
      <c r="D53" s="34"/>
      <c r="E53" s="34"/>
      <c r="F53" s="34"/>
      <c r="G53" s="34"/>
      <c r="H53" s="34"/>
      <c r="I53" s="34"/>
      <c r="J53" s="34"/>
      <c r="K53" s="34"/>
      <c r="L53" s="34"/>
      <c r="M53" s="34"/>
      <c r="N53" s="34"/>
      <c r="O53" s="34"/>
      <c r="P53" s="34"/>
      <c r="Q53" s="34"/>
      <c r="R53" s="34"/>
      <c r="S53" s="34"/>
      <c r="T53" s="34"/>
      <c r="U53" s="34"/>
    </row>
    <row r="55" spans="1:21" ht="20.25" x14ac:dyDescent="0.3">
      <c r="F55" s="47" t="s">
        <v>35</v>
      </c>
      <c r="K55" s="47" t="s">
        <v>36</v>
      </c>
    </row>
    <row r="56" spans="1:21" ht="118.5" customHeight="1" x14ac:dyDescent="0.2">
      <c r="A56" s="21" t="str">
        <f>A9</f>
        <v>Customer code</v>
      </c>
      <c r="B56" s="21" t="str">
        <f t="shared" ref="B56:Q56" si="2">B9</f>
        <v>Customer name</v>
      </c>
      <c r="C56" s="21" t="str">
        <f t="shared" si="2"/>
        <v>Customer type</v>
      </c>
      <c r="D56" s="21" t="str">
        <f t="shared" si="2"/>
        <v xml:space="preserve">Additional gross energy (kWh) </v>
      </c>
      <c r="E56" s="89" t="str">
        <f t="shared" si="2"/>
        <v>x</v>
      </c>
      <c r="F56" s="21" t="str">
        <f t="shared" si="2"/>
        <v>AMDR (kW) (using conversion factor formula with individual conversion factors)</v>
      </c>
      <c r="G56" s="21" t="str">
        <f t="shared" si="2"/>
        <v>Residual charge rate ($/kW)</v>
      </c>
      <c r="H56" s="21" t="str">
        <f t="shared" si="2"/>
        <v>Annual residual charge (ARC) ($)</v>
      </c>
      <c r="I56" s="21" t="str">
        <f t="shared" si="2"/>
        <v>SQ - incremental annual residual charge for additional scenario load ($)</v>
      </c>
      <c r="J56" s="89" t="str">
        <f t="shared" si="2"/>
        <v>x</v>
      </c>
      <c r="K56" s="21" t="str">
        <f t="shared" si="2"/>
        <v>AMDR (kW) (using conversion factor formula with individual conversion factors)</v>
      </c>
      <c r="L56" s="21" t="str">
        <f t="shared" si="2"/>
        <v>AMDR (kW) (using conversion factor formula with uniform conversion factor)</v>
      </c>
      <c r="M56" s="21" t="str">
        <f t="shared" si="2"/>
        <v>Ratio of LATGEn: ATGEbaseline</v>
      </c>
      <c r="N56" s="21" t="str">
        <f t="shared" si="2"/>
        <v>AMDR (kW) (using conversion factor formula with uniform conversion factor)</v>
      </c>
      <c r="O56" s="21" t="str">
        <f t="shared" si="2"/>
        <v>Residual charge rate ($/kW)</v>
      </c>
      <c r="P56" s="21" t="str">
        <f t="shared" si="2"/>
        <v>Annual residual charge (ARC) ($)</v>
      </c>
      <c r="Q56" s="21" t="str">
        <f t="shared" si="2"/>
        <v>Alternative- incremental annual residual charge for additional scenario load ($)</v>
      </c>
      <c r="S56" s="21" t="s">
        <v>37</v>
      </c>
      <c r="T56" s="21" t="str">
        <f>I56</f>
        <v>SQ - incremental annual residual charge for additional scenario load ($)</v>
      </c>
      <c r="U56" s="21" t="str">
        <f>N56</f>
        <v>AMDR (kW) (using conversion factor formula with uniform conversion factor)</v>
      </c>
    </row>
    <row r="57" spans="1:21" x14ac:dyDescent="0.2">
      <c r="A57" s="5" t="str" cm="1">
        <f t="array" ref="A57:Q73">_xlfn._xlws.FILTER('Calculations - Part 1'!$A$139:$Q$194,'Calculations - Part 1'!$C$139:$C$194=$A$53)</f>
        <v>Contact Energy Limited</v>
      </c>
      <c r="B57" s="5" t="str">
        <v>CTCT</v>
      </c>
      <c r="C57" s="5" t="str">
        <v>Generator</v>
      </c>
      <c r="D57" s="23">
        <v>10000000</v>
      </c>
      <c r="E57" s="88">
        <v>0</v>
      </c>
      <c r="F57" s="23">
        <v>55740.376145104805</v>
      </c>
      <c r="G57" s="51">
        <v>54.532348720038577</v>
      </c>
      <c r="H57" s="23">
        <v>3039653.6297309748</v>
      </c>
      <c r="I57" s="13">
        <v>1734890.6676169394</v>
      </c>
      <c r="J57" s="88">
        <v>0</v>
      </c>
      <c r="K57" s="23">
        <v>55740.376145104805</v>
      </c>
      <c r="L57" s="23">
        <v>25957.999841578432</v>
      </c>
      <c r="M57" s="23">
        <v>1</v>
      </c>
      <c r="N57" s="23">
        <v>25957.999841578432</v>
      </c>
      <c r="O57" s="80">
        <v>54.53234872003857</v>
      </c>
      <c r="P57" s="23">
        <v>1415550.6994356611</v>
      </c>
      <c r="Q57" s="23">
        <v>110787.7373216257</v>
      </c>
      <c r="S57" s="5" t="str">
        <f t="shared" ref="S57:S68" si="3">A57</f>
        <v>Contact Energy Limited</v>
      </c>
      <c r="T57" s="13">
        <f>I57</f>
        <v>1734890.6676169394</v>
      </c>
      <c r="U57" s="38"/>
    </row>
    <row r="58" spans="1:21" x14ac:dyDescent="0.2">
      <c r="A58" s="5" t="str">
        <v>Genesis Energy Ltd</v>
      </c>
      <c r="B58" s="5" t="str">
        <v>GENE</v>
      </c>
      <c r="C58" s="5" t="str">
        <v>Generator</v>
      </c>
      <c r="D58" s="23">
        <v>10000000</v>
      </c>
      <c r="E58" s="88">
        <v>0</v>
      </c>
      <c r="F58" s="23">
        <v>37834.927921981987</v>
      </c>
      <c r="G58" s="51">
        <v>54.532348720038577</v>
      </c>
      <c r="H58" s="23">
        <v>2063227.4832390463</v>
      </c>
      <c r="I58" s="13">
        <v>1394813.0824658014</v>
      </c>
      <c r="J58" s="88">
        <v>0</v>
      </c>
      <c r="K58" s="23">
        <v>37834.927921981987</v>
      </c>
      <c r="L58" s="23">
        <v>14288.805752621904</v>
      </c>
      <c r="M58" s="23">
        <v>1</v>
      </c>
      <c r="N58" s="23">
        <v>14288.805752621904</v>
      </c>
      <c r="O58" s="80">
        <v>54.53234872003857</v>
      </c>
      <c r="P58" s="23">
        <v>779202.13809487084</v>
      </c>
      <c r="Q58" s="23">
        <v>110787.73732162593</v>
      </c>
      <c r="S58" s="5" t="str">
        <f t="shared" si="3"/>
        <v>Genesis Energy Ltd</v>
      </c>
      <c r="T58" s="13">
        <f t="shared" ref="T58:T73" si="4">I58</f>
        <v>1394813.0824658014</v>
      </c>
      <c r="U58" s="39"/>
    </row>
    <row r="59" spans="1:21" x14ac:dyDescent="0.2">
      <c r="A59" s="5" t="str">
        <v>Manawa Energy Ltd</v>
      </c>
      <c r="B59" s="5" t="str">
        <v>TRUG</v>
      </c>
      <c r="C59" s="5" t="str">
        <v>Generator</v>
      </c>
      <c r="D59" s="23">
        <v>10000000</v>
      </c>
      <c r="E59" s="88">
        <v>0</v>
      </c>
      <c r="F59" s="23">
        <v>53630.623426533457</v>
      </c>
      <c r="G59" s="51">
        <v>54.532348720038577</v>
      </c>
      <c r="H59" s="23">
        <v>2924603.8587687928</v>
      </c>
      <c r="I59" s="13">
        <v>2892175.3257474168</v>
      </c>
      <c r="J59" s="88">
        <v>0</v>
      </c>
      <c r="K59" s="23">
        <v>53630.623426533457</v>
      </c>
      <c r="L59" s="23">
        <v>2626.262644183073</v>
      </c>
      <c r="M59" s="23">
        <v>1</v>
      </c>
      <c r="N59" s="23">
        <v>2626.262644183073</v>
      </c>
      <c r="O59" s="80">
        <v>54.53234872003857</v>
      </c>
      <c r="P59" s="23">
        <v>143216.2703430019</v>
      </c>
      <c r="Q59" s="23">
        <v>110787.7373216259</v>
      </c>
      <c r="S59" s="5" t="str">
        <f t="shared" si="3"/>
        <v>Manawa Energy Ltd</v>
      </c>
      <c r="T59" s="13">
        <f t="shared" si="4"/>
        <v>2892175.3257474168</v>
      </c>
      <c r="U59" s="39"/>
    </row>
    <row r="60" spans="1:21" x14ac:dyDescent="0.2">
      <c r="A60" s="5" t="str">
        <v>MEL (Te Apiti) Limited</v>
      </c>
      <c r="B60" s="5" t="str">
        <v>MELT</v>
      </c>
      <c r="C60" s="5" t="str">
        <v>Generator</v>
      </c>
      <c r="D60" s="23">
        <v>10000000</v>
      </c>
      <c r="E60" s="88">
        <v>0</v>
      </c>
      <c r="F60" s="23">
        <v>18057.049787509157</v>
      </c>
      <c r="G60" s="51">
        <v>54.532348720038577</v>
      </c>
      <c r="H60" s="23">
        <v>984693.33586754778</v>
      </c>
      <c r="I60" s="13">
        <v>933026.21607984276</v>
      </c>
      <c r="J60" s="88">
        <v>0</v>
      </c>
      <c r="K60" s="23">
        <v>18057.049787509157</v>
      </c>
      <c r="L60" s="23">
        <v>2979.0548348348484</v>
      </c>
      <c r="M60" s="23">
        <v>1</v>
      </c>
      <c r="N60" s="23">
        <v>2979.0548348348484</v>
      </c>
      <c r="O60" s="80">
        <v>54.53234872003857</v>
      </c>
      <c r="P60" s="23">
        <v>162454.85710933086</v>
      </c>
      <c r="Q60" s="23">
        <v>110787.73732162589</v>
      </c>
      <c r="S60" s="5" t="str">
        <f t="shared" si="3"/>
        <v>MEL (Te Apiti) Limited</v>
      </c>
      <c r="T60" s="13">
        <f t="shared" si="4"/>
        <v>933026.21607984276</v>
      </c>
      <c r="U60" s="39"/>
    </row>
    <row r="61" spans="1:21" x14ac:dyDescent="0.2">
      <c r="A61" s="5" t="str">
        <v>MEL (West Wind) Limited</v>
      </c>
      <c r="B61" s="5" t="str">
        <v>MELW</v>
      </c>
      <c r="C61" s="5" t="str">
        <v>Generator</v>
      </c>
      <c r="D61" s="23">
        <v>10000000</v>
      </c>
      <c r="E61" s="88">
        <v>0</v>
      </c>
      <c r="F61" s="23">
        <v>18226.314883283932</v>
      </c>
      <c r="G61" s="51">
        <v>54.532348720038577</v>
      </c>
      <c r="H61" s="23">
        <v>993923.75909646857</v>
      </c>
      <c r="I61" s="13">
        <v>930002.65393569588</v>
      </c>
      <c r="J61" s="88">
        <v>0</v>
      </c>
      <c r="K61" s="23">
        <v>18226.314883283932</v>
      </c>
      <c r="L61" s="23">
        <v>3203.7652252854409</v>
      </c>
      <c r="M61" s="23">
        <v>1</v>
      </c>
      <c r="N61" s="23">
        <v>3203.7652252854409</v>
      </c>
      <c r="O61" s="80">
        <v>54.53234872003857</v>
      </c>
      <c r="P61" s="23">
        <v>174708.84248239858</v>
      </c>
      <c r="Q61" s="23">
        <v>110787.73732162589</v>
      </c>
      <c r="S61" s="5" t="str">
        <f t="shared" si="3"/>
        <v>MEL (West Wind) Limited</v>
      </c>
      <c r="T61" s="13">
        <f t="shared" si="4"/>
        <v>930002.65393569588</v>
      </c>
      <c r="U61" s="39"/>
    </row>
    <row r="62" spans="1:21" x14ac:dyDescent="0.2">
      <c r="A62" s="5" t="str">
        <v>Mercury NZ Limited</v>
      </c>
      <c r="B62" s="5" t="str">
        <v>MRPL</v>
      </c>
      <c r="C62" s="5" t="str">
        <v>Generator</v>
      </c>
      <c r="D62" s="23">
        <v>10000000</v>
      </c>
      <c r="E62" s="88">
        <v>0</v>
      </c>
      <c r="F62" s="23">
        <v>36972.357181707877</v>
      </c>
      <c r="G62" s="51">
        <v>54.532348720038577</v>
      </c>
      <c r="H62" s="23">
        <v>2016189.4748347166</v>
      </c>
      <c r="I62" s="13">
        <v>237111.75453538075</v>
      </c>
      <c r="J62" s="88">
        <v>0</v>
      </c>
      <c r="K62" s="23">
        <v>36972.357181707877</v>
      </c>
      <c r="L62" s="23">
        <v>34655.860273381324</v>
      </c>
      <c r="M62" s="23">
        <v>1</v>
      </c>
      <c r="N62" s="23">
        <v>34655.860273381324</v>
      </c>
      <c r="O62" s="80">
        <v>54.53234872003857</v>
      </c>
      <c r="P62" s="23">
        <v>1889865.4576209616</v>
      </c>
      <c r="Q62" s="23">
        <v>110787.7373216257</v>
      </c>
      <c r="S62" s="5" t="str">
        <f t="shared" si="3"/>
        <v>Mercury NZ Limited</v>
      </c>
      <c r="T62" s="13">
        <f t="shared" si="4"/>
        <v>237111.75453538075</v>
      </c>
      <c r="U62" s="39"/>
    </row>
    <row r="63" spans="1:21" x14ac:dyDescent="0.2">
      <c r="A63" s="5" t="str">
        <v>Mercury SPV Limited</v>
      </c>
      <c r="B63" s="5" t="str">
        <v>MSVP</v>
      </c>
      <c r="C63" s="5" t="str">
        <v>Generator</v>
      </c>
      <c r="D63" s="23">
        <v>10000000</v>
      </c>
      <c r="E63" s="88">
        <v>0</v>
      </c>
      <c r="F63" s="23" t="str">
        <v/>
      </c>
      <c r="G63" s="51">
        <v>54.532348720038577</v>
      </c>
      <c r="H63" s="23" t="str">
        <v/>
      </c>
      <c r="I63" s="13" t="str">
        <v/>
      </c>
      <c r="J63" s="88">
        <v>0</v>
      </c>
      <c r="K63" s="23" t="str">
        <v/>
      </c>
      <c r="L63" s="23">
        <v>2031.5966563331906</v>
      </c>
      <c r="M63" s="23" t="str">
        <v/>
      </c>
      <c r="N63" s="23">
        <v>2031.5966563331906</v>
      </c>
      <c r="O63" s="80">
        <v>54.53234872003857</v>
      </c>
      <c r="P63" s="23">
        <v>110787.7373216259</v>
      </c>
      <c r="Q63" s="23">
        <v>110787.7373216259</v>
      </c>
      <c r="S63" s="5" t="str">
        <f t="shared" si="3"/>
        <v>Mercury SPV Limited</v>
      </c>
      <c r="T63" s="13" t="str">
        <f t="shared" si="4"/>
        <v/>
      </c>
      <c r="U63" s="39"/>
    </row>
    <row r="64" spans="1:21" x14ac:dyDescent="0.2">
      <c r="A64" s="5" t="str">
        <v>Meridian Energy Limited</v>
      </c>
      <c r="B64" s="5" t="str">
        <v>MERI</v>
      </c>
      <c r="C64" s="5" t="str">
        <v>Generator</v>
      </c>
      <c r="D64" s="23">
        <v>10000000</v>
      </c>
      <c r="E64" s="88">
        <v>0</v>
      </c>
      <c r="F64" s="23">
        <v>54302.595095416997</v>
      </c>
      <c r="G64" s="51">
        <v>54.532348720038577</v>
      </c>
      <c r="H64" s="23">
        <v>2961248.0521463361</v>
      </c>
      <c r="I64" s="13">
        <v>1547774.0425861375</v>
      </c>
      <c r="J64" s="88">
        <v>0</v>
      </c>
      <c r="K64" s="23">
        <v>54302.595095416997</v>
      </c>
      <c r="L64" s="23">
        <v>27951.51470014927</v>
      </c>
      <c r="M64" s="23">
        <v>1</v>
      </c>
      <c r="N64" s="23">
        <v>27951.51470014927</v>
      </c>
      <c r="O64" s="80">
        <v>54.53234872003857</v>
      </c>
      <c r="P64" s="23">
        <v>1524261.7468818242</v>
      </c>
      <c r="Q64" s="23">
        <v>110787.7373216257</v>
      </c>
      <c r="S64" s="5" t="str">
        <f t="shared" si="3"/>
        <v>Meridian Energy Limited</v>
      </c>
      <c r="T64" s="13">
        <f t="shared" si="4"/>
        <v>1547774.0425861375</v>
      </c>
      <c r="U64" s="39">
        <f>Q64</f>
        <v>110787.7373216257</v>
      </c>
    </row>
    <row r="65" spans="1:21" x14ac:dyDescent="0.2">
      <c r="A65" s="5" t="str">
        <v>Nga Awa Purua Joint Venture</v>
      </c>
      <c r="B65" s="5" t="str">
        <v>NAPA</v>
      </c>
      <c r="C65" s="5" t="str">
        <v>Generator</v>
      </c>
      <c r="D65" s="23">
        <v>10000000</v>
      </c>
      <c r="E65" s="88">
        <v>0</v>
      </c>
      <c r="F65" s="23">
        <v>502117.28900851781</v>
      </c>
      <c r="G65" s="51">
        <v>54.532348720038577</v>
      </c>
      <c r="H65" s="23">
        <v>27381635.102572888</v>
      </c>
      <c r="I65" s="13">
        <v>27094293.34804355</v>
      </c>
      <c r="J65" s="88">
        <v>0</v>
      </c>
      <c r="K65" s="23">
        <v>502117.28900851781</v>
      </c>
      <c r="L65" s="23">
        <v>7300.7948712223206</v>
      </c>
      <c r="M65" s="23">
        <v>1</v>
      </c>
      <c r="N65" s="23">
        <v>7300.7948712223206</v>
      </c>
      <c r="O65" s="80">
        <v>54.53234872003857</v>
      </c>
      <c r="P65" s="23">
        <v>398129.49185096467</v>
      </c>
      <c r="Q65" s="23">
        <v>110787.73732162587</v>
      </c>
      <c r="S65" s="5" t="str">
        <f t="shared" si="3"/>
        <v>Nga Awa Purua Joint Venture</v>
      </c>
      <c r="T65" s="13">
        <f t="shared" si="4"/>
        <v>27094293.34804355</v>
      </c>
      <c r="U65" s="39"/>
    </row>
    <row r="66" spans="1:21" x14ac:dyDescent="0.2">
      <c r="A66" s="5" t="str">
        <v>Ngatamariki Geothermal Ltd</v>
      </c>
      <c r="B66" s="5" t="str">
        <v>NTRG</v>
      </c>
      <c r="C66" s="5" t="str">
        <v>Generator</v>
      </c>
      <c r="D66" s="23">
        <v>10000000</v>
      </c>
      <c r="E66" s="88">
        <v>0</v>
      </c>
      <c r="F66" s="23">
        <v>2543156.8045444982</v>
      </c>
      <c r="G66" s="51">
        <v>54.532348720038577</v>
      </c>
      <c r="H66" s="23">
        <v>138684313.71515957</v>
      </c>
      <c r="I66" s="13">
        <v>138596838.3206535</v>
      </c>
      <c r="J66" s="88">
        <v>0</v>
      </c>
      <c r="K66" s="23">
        <v>2543156.8045444982</v>
      </c>
      <c r="L66" s="23">
        <v>3635.6976451823384</v>
      </c>
      <c r="M66" s="23">
        <v>1</v>
      </c>
      <c r="N66" s="23">
        <v>3635.6976451823384</v>
      </c>
      <c r="O66" s="80">
        <v>54.53234872003857</v>
      </c>
      <c r="P66" s="23">
        <v>198263.13182770633</v>
      </c>
      <c r="Q66" s="23">
        <v>110787.73732162589</v>
      </c>
      <c r="S66" s="5" t="str">
        <f t="shared" si="3"/>
        <v>Ngatamariki Geothermal Ltd</v>
      </c>
      <c r="T66" s="13">
        <f t="shared" si="4"/>
        <v>138596838.3206535</v>
      </c>
      <c r="U66" s="39"/>
    </row>
    <row r="67" spans="1:21" x14ac:dyDescent="0.2">
      <c r="A67" s="5" t="str">
        <v>Nova Energy Limited</v>
      </c>
      <c r="B67" s="5" t="str">
        <v>TBOP</v>
      </c>
      <c r="C67" s="5" t="str">
        <v>Generator</v>
      </c>
      <c r="D67" s="23">
        <v>10000000</v>
      </c>
      <c r="E67" s="88">
        <v>0</v>
      </c>
      <c r="F67" s="23">
        <v>9828.5573357158955</v>
      </c>
      <c r="G67" s="51">
        <v>54.532348720038577</v>
      </c>
      <c r="H67" s="23">
        <v>535974.3160461525</v>
      </c>
      <c r="I67" s="13">
        <v>92268.619958970754</v>
      </c>
      <c r="J67" s="88">
        <v>0</v>
      </c>
      <c r="K67" s="23">
        <v>9828.5573357158955</v>
      </c>
      <c r="L67" s="23">
        <v>10168.156083932843</v>
      </c>
      <c r="M67" s="23">
        <v>1</v>
      </c>
      <c r="N67" s="23">
        <v>10168.156083932843</v>
      </c>
      <c r="O67" s="80">
        <v>54.53234872003857</v>
      </c>
      <c r="P67" s="23">
        <v>554493.43340880761</v>
      </c>
      <c r="Q67" s="23">
        <v>110787.73732162587</v>
      </c>
      <c r="S67" s="5" t="str">
        <f t="shared" si="3"/>
        <v>Nova Energy Limited</v>
      </c>
      <c r="T67" s="13">
        <f t="shared" si="4"/>
        <v>92268.619958970754</v>
      </c>
      <c r="U67" s="39"/>
    </row>
    <row r="68" spans="1:21" x14ac:dyDescent="0.2">
      <c r="A68" s="5" t="str">
        <v>Tararua Wind Power</v>
      </c>
      <c r="B68" s="5" t="str">
        <v>TARW</v>
      </c>
      <c r="C68" s="5" t="str">
        <v>Generator</v>
      </c>
      <c r="D68" s="23">
        <v>10000000</v>
      </c>
      <c r="E68" s="88">
        <v>0</v>
      </c>
      <c r="F68" s="23">
        <v>20530.472303052138</v>
      </c>
      <c r="G68" s="51">
        <v>54.532348720038577</v>
      </c>
      <c r="H68" s="23">
        <v>1119574.8750171326</v>
      </c>
      <c r="I68" s="13">
        <v>1059222.9593923024</v>
      </c>
      <c r="J68" s="88">
        <v>0</v>
      </c>
      <c r="K68" s="23">
        <v>20530.472303052138</v>
      </c>
      <c r="L68" s="23">
        <v>3138.3143576863545</v>
      </c>
      <c r="M68" s="23">
        <v>1</v>
      </c>
      <c r="N68" s="23">
        <v>3138.3143576863545</v>
      </c>
      <c r="O68" s="80">
        <v>54.53234872003857</v>
      </c>
      <c r="P68" s="23">
        <v>171139.65294645613</v>
      </c>
      <c r="Q68" s="23">
        <v>110787.7373216259</v>
      </c>
      <c r="S68" s="5" t="str">
        <f t="shared" si="3"/>
        <v>Tararua Wind Power</v>
      </c>
      <c r="T68" s="13">
        <f t="shared" si="4"/>
        <v>1059222.9593923024</v>
      </c>
      <c r="U68" s="39"/>
    </row>
    <row r="69" spans="1:21" x14ac:dyDescent="0.2">
      <c r="A69" s="5" t="str">
        <v>Kawerau Geothermal Limited</v>
      </c>
      <c r="B69" s="5" t="str">
        <v>KWGL</v>
      </c>
      <c r="C69" s="5" t="str">
        <v>Generator</v>
      </c>
      <c r="D69" s="23">
        <v>10000000</v>
      </c>
      <c r="E69" s="5">
        <v>0</v>
      </c>
      <c r="F69" s="5">
        <v>0</v>
      </c>
      <c r="G69" s="5">
        <v>0</v>
      </c>
      <c r="H69" s="5">
        <v>0</v>
      </c>
      <c r="I69" s="5">
        <v>0</v>
      </c>
      <c r="J69" s="5">
        <v>0</v>
      </c>
      <c r="K69" s="5">
        <v>0</v>
      </c>
      <c r="L69" s="5">
        <v>0</v>
      </c>
      <c r="M69" s="5">
        <v>0</v>
      </c>
      <c r="N69" s="5">
        <v>0</v>
      </c>
      <c r="O69" s="5">
        <v>0</v>
      </c>
      <c r="P69" s="5">
        <v>0</v>
      </c>
      <c r="Q69" s="5">
        <v>0</v>
      </c>
      <c r="S69" s="5" t="str">
        <f t="shared" ref="S69:S72" si="5">A69</f>
        <v>Kawerau Geothermal Limited</v>
      </c>
      <c r="T69" s="13">
        <f t="shared" si="4"/>
        <v>0</v>
      </c>
      <c r="U69" s="39"/>
    </row>
    <row r="70" spans="1:21" x14ac:dyDescent="0.2">
      <c r="A70" s="5" t="str">
        <v>Resolution Development Ltd</v>
      </c>
      <c r="B70" s="5" t="str">
        <v>SOLE</v>
      </c>
      <c r="C70" s="5" t="str">
        <v>Generator</v>
      </c>
      <c r="D70" s="23">
        <v>10000000</v>
      </c>
      <c r="E70" s="5">
        <v>0</v>
      </c>
      <c r="F70" s="5">
        <v>0</v>
      </c>
      <c r="G70" s="5">
        <v>0</v>
      </c>
      <c r="H70" s="5">
        <v>0</v>
      </c>
      <c r="I70" s="5">
        <v>0</v>
      </c>
      <c r="J70" s="5">
        <v>0</v>
      </c>
      <c r="K70" s="5">
        <v>0</v>
      </c>
      <c r="L70" s="5">
        <v>0</v>
      </c>
      <c r="M70" s="5">
        <v>0</v>
      </c>
      <c r="N70" s="5">
        <v>0</v>
      </c>
      <c r="O70" s="5">
        <v>0</v>
      </c>
      <c r="P70" s="5">
        <v>0</v>
      </c>
      <c r="Q70" s="5">
        <v>0</v>
      </c>
      <c r="S70" s="5" t="str">
        <f t="shared" si="5"/>
        <v>Resolution Development Ltd</v>
      </c>
      <c r="T70" s="13">
        <f t="shared" si="4"/>
        <v>0</v>
      </c>
      <c r="U70" s="39"/>
    </row>
    <row r="71" spans="1:21" x14ac:dyDescent="0.2">
      <c r="A71" s="5" t="str">
        <v>Southern Generation GP Limited</v>
      </c>
      <c r="B71" s="5" t="str">
        <v>SOU2</v>
      </c>
      <c r="C71" s="5" t="str">
        <v>Generator</v>
      </c>
      <c r="D71" s="23">
        <v>10000000</v>
      </c>
      <c r="E71" s="5">
        <v>0</v>
      </c>
      <c r="F71" s="5">
        <v>0</v>
      </c>
      <c r="G71" s="5">
        <v>0</v>
      </c>
      <c r="H71" s="5">
        <v>0</v>
      </c>
      <c r="I71" s="5">
        <v>0</v>
      </c>
      <c r="J71" s="5">
        <v>0</v>
      </c>
      <c r="K71" s="5">
        <v>0</v>
      </c>
      <c r="L71" s="5">
        <v>0</v>
      </c>
      <c r="M71" s="5">
        <v>0</v>
      </c>
      <c r="N71" s="5">
        <v>0</v>
      </c>
      <c r="O71" s="5">
        <v>0</v>
      </c>
      <c r="P71" s="5">
        <v>0</v>
      </c>
      <c r="Q71" s="5">
        <v>0</v>
      </c>
      <c r="S71" s="5" t="str">
        <f t="shared" si="5"/>
        <v>Southern Generation GP Limited</v>
      </c>
      <c r="T71" s="13">
        <f t="shared" si="4"/>
        <v>0</v>
      </c>
      <c r="U71" s="39"/>
    </row>
    <row r="72" spans="1:21" x14ac:dyDescent="0.2">
      <c r="A72" s="5" t="str">
        <v>Waverley Windfarm Limited</v>
      </c>
      <c r="B72" s="5" t="str">
        <v>WAV1</v>
      </c>
      <c r="C72" s="5" t="str">
        <v>Generator</v>
      </c>
      <c r="D72" s="23">
        <v>10000000</v>
      </c>
      <c r="E72" s="5">
        <v>0</v>
      </c>
      <c r="F72" s="5">
        <v>0</v>
      </c>
      <c r="G72" s="5">
        <v>0</v>
      </c>
      <c r="H72" s="5">
        <v>0</v>
      </c>
      <c r="I72" s="5">
        <v>0</v>
      </c>
      <c r="J72" s="5">
        <v>0</v>
      </c>
      <c r="K72" s="5">
        <v>0</v>
      </c>
      <c r="L72" s="5">
        <v>0</v>
      </c>
      <c r="M72" s="5">
        <v>0</v>
      </c>
      <c r="N72" s="5">
        <v>0</v>
      </c>
      <c r="O72" s="5">
        <v>0</v>
      </c>
      <c r="P72" s="5">
        <v>0</v>
      </c>
      <c r="Q72" s="5">
        <v>0</v>
      </c>
      <c r="S72" s="5" t="str">
        <f t="shared" si="5"/>
        <v>Waverley Windfarm Limited</v>
      </c>
      <c r="T72" s="13">
        <f t="shared" si="4"/>
        <v>0</v>
      </c>
      <c r="U72" s="39"/>
    </row>
    <row r="73" spans="1:21" x14ac:dyDescent="0.2">
      <c r="A73" s="5" t="str">
        <v>Mercury NZ Limited</v>
      </c>
      <c r="B73" s="5" t="str">
        <v>SCGL</v>
      </c>
      <c r="C73" s="5" t="str">
        <v>Generator</v>
      </c>
      <c r="D73" s="23">
        <v>10000000</v>
      </c>
      <c r="E73" s="5">
        <v>0</v>
      </c>
      <c r="F73" s="5">
        <v>0</v>
      </c>
      <c r="G73" s="5">
        <v>0</v>
      </c>
      <c r="H73" s="5">
        <v>0</v>
      </c>
      <c r="I73" s="5">
        <v>0</v>
      </c>
      <c r="J73" s="5">
        <v>0</v>
      </c>
      <c r="K73" s="5">
        <v>0</v>
      </c>
      <c r="L73" s="5">
        <v>0</v>
      </c>
      <c r="M73" s="5">
        <v>0</v>
      </c>
      <c r="N73" s="5">
        <v>0</v>
      </c>
      <c r="O73" s="5">
        <v>0</v>
      </c>
      <c r="P73" s="5">
        <v>0</v>
      </c>
      <c r="Q73" s="5">
        <v>0</v>
      </c>
      <c r="S73" s="5" t="str">
        <f t="shared" ref="S73" si="6">A73</f>
        <v>Mercury NZ Limited</v>
      </c>
      <c r="T73" s="13">
        <f t="shared" si="4"/>
        <v>0</v>
      </c>
    </row>
    <row r="74" spans="1:21" x14ac:dyDescent="0.2">
      <c r="E74" s="90"/>
      <c r="J74" s="90"/>
    </row>
    <row r="75" spans="1:21" ht="15" x14ac:dyDescent="0.25">
      <c r="E75" s="90"/>
      <c r="J75" s="90"/>
      <c r="S75" s="37" t="s">
        <v>38</v>
      </c>
      <c r="T75" s="13">
        <f>MIN($T$57:$T$62,$T$64:$T$68)</f>
        <v>92268.619958970754</v>
      </c>
      <c r="U75" s="39"/>
    </row>
    <row r="76" spans="1:21" ht="15" x14ac:dyDescent="0.25">
      <c r="E76" s="90"/>
      <c r="J76" s="90"/>
      <c r="S76" s="41" t="s">
        <v>39</v>
      </c>
      <c r="T76" s="42">
        <f>MEDIAN($T$57:$T$62,$T$64:$T$68)</f>
        <v>1394813.0824658014</v>
      </c>
      <c r="U76" s="42">
        <f>MEDIAN(U57:U68)</f>
        <v>110787.7373216257</v>
      </c>
    </row>
    <row r="77" spans="1:21" ht="15" x14ac:dyDescent="0.25">
      <c r="E77" s="90"/>
      <c r="J77" s="90"/>
      <c r="S77" s="37" t="s">
        <v>40</v>
      </c>
      <c r="T77" s="121">
        <f>MAX(T57:T68)</f>
        <v>138596838.3206535</v>
      </c>
    </row>
    <row r="78" spans="1:21" x14ac:dyDescent="0.2">
      <c r="E78" s="90"/>
      <c r="J78" s="90"/>
    </row>
    <row r="79" spans="1:21" x14ac:dyDescent="0.2">
      <c r="E79" s="90"/>
      <c r="J79" s="90"/>
    </row>
    <row r="80" spans="1:21" x14ac:dyDescent="0.2">
      <c r="E80" s="90"/>
      <c r="J80" s="90"/>
    </row>
    <row r="81" spans="1:21" ht="23.25" x14ac:dyDescent="0.35">
      <c r="A81" s="36" t="s">
        <v>42</v>
      </c>
      <c r="B81" s="35"/>
      <c r="C81" s="35"/>
      <c r="D81" s="35"/>
      <c r="E81" s="91"/>
      <c r="F81" s="35"/>
      <c r="G81" s="35"/>
      <c r="H81" s="35"/>
      <c r="I81" s="35"/>
      <c r="J81" s="91"/>
      <c r="K81" s="35"/>
      <c r="L81" s="35"/>
      <c r="M81" s="35"/>
      <c r="N81" s="35"/>
      <c r="O81" s="35"/>
      <c r="P81" s="35"/>
      <c r="Q81" s="35"/>
      <c r="R81" s="35"/>
      <c r="S81" s="35"/>
      <c r="T81" s="35"/>
      <c r="U81" s="35"/>
    </row>
    <row r="82" spans="1:21" x14ac:dyDescent="0.2">
      <c r="E82" s="90"/>
      <c r="J82" s="90"/>
    </row>
    <row r="83" spans="1:21" ht="20.25" x14ac:dyDescent="0.3">
      <c r="E83" s="90"/>
      <c r="F83" s="47" t="s">
        <v>35</v>
      </c>
      <c r="K83" s="47" t="s">
        <v>36</v>
      </c>
    </row>
    <row r="84" spans="1:21" ht="118.5" customHeight="1" x14ac:dyDescent="0.2">
      <c r="A84" s="21" t="str">
        <f>A9</f>
        <v>Customer code</v>
      </c>
      <c r="B84" s="21" t="str">
        <f t="shared" ref="B84:Q84" si="7">B9</f>
        <v>Customer name</v>
      </c>
      <c r="C84" s="21" t="str">
        <f t="shared" si="7"/>
        <v>Customer type</v>
      </c>
      <c r="D84" s="21" t="str">
        <f t="shared" si="7"/>
        <v xml:space="preserve">Additional gross energy (kWh) </v>
      </c>
      <c r="E84" s="89" t="str">
        <f t="shared" si="7"/>
        <v>x</v>
      </c>
      <c r="F84" s="21" t="str">
        <f t="shared" si="7"/>
        <v>AMDR (kW) (using conversion factor formula with individual conversion factors)</v>
      </c>
      <c r="G84" s="21" t="str">
        <f t="shared" si="7"/>
        <v>Residual charge rate ($/kW)</v>
      </c>
      <c r="H84" s="21" t="str">
        <f t="shared" si="7"/>
        <v>Annual residual charge (ARC) ($)</v>
      </c>
      <c r="I84" s="21" t="str">
        <f t="shared" si="7"/>
        <v>SQ - incremental annual residual charge for additional scenario load ($)</v>
      </c>
      <c r="J84" s="89" t="str">
        <f t="shared" si="7"/>
        <v>x</v>
      </c>
      <c r="K84" s="21" t="str">
        <f t="shared" si="7"/>
        <v>AMDR (kW) (using conversion factor formula with individual conversion factors)</v>
      </c>
      <c r="L84" s="21" t="str">
        <f t="shared" si="7"/>
        <v>AMDR (kW) (using conversion factor formula with uniform conversion factor)</v>
      </c>
      <c r="M84" s="21" t="str">
        <f t="shared" si="7"/>
        <v>Ratio of LATGEn: ATGEbaseline</v>
      </c>
      <c r="N84" s="21" t="str">
        <f t="shared" si="7"/>
        <v>AMDR (kW) (using conversion factor formula with uniform conversion factor)</v>
      </c>
      <c r="O84" s="21" t="str">
        <f t="shared" si="7"/>
        <v>Residual charge rate ($/kW)</v>
      </c>
      <c r="P84" s="21" t="str">
        <f t="shared" si="7"/>
        <v>Annual residual charge (ARC) ($)</v>
      </c>
      <c r="Q84" s="21" t="str">
        <f t="shared" si="7"/>
        <v>Alternative- incremental annual residual charge for additional scenario load ($)</v>
      </c>
      <c r="S84" s="21" t="s">
        <v>37</v>
      </c>
      <c r="T84" s="21" t="str">
        <f>I84</f>
        <v>SQ - incremental annual residual charge for additional scenario load ($)</v>
      </c>
      <c r="U84" s="21" t="str">
        <f>N84</f>
        <v>AMDR (kW) (using conversion factor formula with uniform conversion factor)</v>
      </c>
    </row>
    <row r="85" spans="1:21" ht="15" x14ac:dyDescent="0.2">
      <c r="A85" s="5" t="str" cm="1">
        <f t="array" ref="A85:Q96">_xlfn._xlws.FILTER('Calculations - Part 1'!$A$139:$Q$193,'Calculations - Part 1'!$C$139:$C$193=$A$81)</f>
        <v>Beach Energy Resources NZ (Holdings) Ltd</v>
      </c>
      <c r="B85" s="5" t="str">
        <v>KUPE</v>
      </c>
      <c r="C85" s="5" t="str">
        <v>Direct Connect</v>
      </c>
      <c r="D85" s="13">
        <v>10000000</v>
      </c>
      <c r="E85" s="89">
        <v>0</v>
      </c>
      <c r="F85" s="23">
        <v>10692.514037174986</v>
      </c>
      <c r="G85" s="51">
        <v>54.532348720038577</v>
      </c>
      <c r="H85" s="23">
        <v>583087.90416913386</v>
      </c>
      <c r="I85" s="13">
        <v>83064.906212339469</v>
      </c>
      <c r="J85" s="23">
        <v>0</v>
      </c>
      <c r="K85" s="23">
        <v>10692.514037174986</v>
      </c>
      <c r="L85" s="23">
        <v>11200.888089640828</v>
      </c>
      <c r="M85" s="23">
        <v>1</v>
      </c>
      <c r="N85" s="23">
        <v>11200.888089640828</v>
      </c>
      <c r="O85" s="80">
        <v>54.53234872003857</v>
      </c>
      <c r="P85" s="23">
        <v>610810.73527842027</v>
      </c>
      <c r="Q85" s="23">
        <v>110787.73732162587</v>
      </c>
      <c r="S85" s="5" t="str">
        <f t="shared" ref="S85:S95" si="8">A85</f>
        <v>Beach Energy Resources NZ (Holdings) Ltd</v>
      </c>
      <c r="T85" s="13">
        <f>I85</f>
        <v>83064.906212339469</v>
      </c>
      <c r="U85" s="38"/>
    </row>
    <row r="86" spans="1:21" x14ac:dyDescent="0.2">
      <c r="A86" s="5" t="str">
        <v>Daiken Southland Limited</v>
      </c>
      <c r="B86" s="5" t="str">
        <v>RAYN</v>
      </c>
      <c r="C86" s="5" t="str">
        <v>Direct Connect</v>
      </c>
      <c r="D86" s="13">
        <v>10000000</v>
      </c>
      <c r="E86" s="88">
        <v>0</v>
      </c>
      <c r="F86" s="23">
        <v>10803.614107426043</v>
      </c>
      <c r="G86" s="51">
        <v>54.532348720038577</v>
      </c>
      <c r="H86" s="23">
        <v>589146.45194288529</v>
      </c>
      <c r="I86" s="13">
        <v>86743.733994124981</v>
      </c>
      <c r="J86" s="23">
        <v>0</v>
      </c>
      <c r="K86" s="23">
        <v>10803.614107426043</v>
      </c>
      <c r="L86" s="23">
        <v>11244.526774711649</v>
      </c>
      <c r="M86" s="23">
        <v>1</v>
      </c>
      <c r="N86" s="23">
        <v>11244.526774711649</v>
      </c>
      <c r="O86" s="80">
        <v>54.53234872003857</v>
      </c>
      <c r="P86" s="23">
        <v>613190.45527038618</v>
      </c>
      <c r="Q86" s="23">
        <v>110787.73732162587</v>
      </c>
      <c r="S86" s="5" t="str">
        <f t="shared" si="8"/>
        <v>Daiken Southland Limited</v>
      </c>
      <c r="T86" s="13">
        <f t="shared" ref="T86:T96" si="9">I86</f>
        <v>86743.733994124981</v>
      </c>
      <c r="U86" s="39"/>
    </row>
    <row r="87" spans="1:21" x14ac:dyDescent="0.2">
      <c r="A87" s="5" t="str">
        <v>KiwiRail Holdings Limited</v>
      </c>
      <c r="B87" s="5" t="str">
        <v>TRNZ</v>
      </c>
      <c r="C87" s="5" t="str">
        <v>Direct Connect</v>
      </c>
      <c r="D87" s="13">
        <v>10000000</v>
      </c>
      <c r="E87" s="88">
        <v>0</v>
      </c>
      <c r="F87" s="23">
        <v>53036.119293415046</v>
      </c>
      <c r="G87" s="51">
        <v>54.532348720038577</v>
      </c>
      <c r="H87" s="23">
        <v>2892184.1520660752</v>
      </c>
      <c r="I87" s="13">
        <v>476672.079261126</v>
      </c>
      <c r="J87" s="23">
        <v>0</v>
      </c>
      <c r="K87" s="23">
        <v>53036.119293415046</v>
      </c>
      <c r="L87" s="23">
        <v>46326.627578361673</v>
      </c>
      <c r="M87" s="23">
        <v>1</v>
      </c>
      <c r="N87" s="23">
        <v>46326.627578361673</v>
      </c>
      <c r="O87" s="80">
        <v>54.53234872003857</v>
      </c>
      <c r="P87" s="23">
        <v>2526299.8101265747</v>
      </c>
      <c r="Q87" s="23">
        <v>110787.73732162546</v>
      </c>
      <c r="S87" s="5" t="str">
        <f t="shared" si="8"/>
        <v>KiwiRail Holdings Limited</v>
      </c>
      <c r="T87" s="13">
        <f t="shared" si="9"/>
        <v>476672.079261126</v>
      </c>
      <c r="U87" s="39"/>
    </row>
    <row r="88" spans="1:21" x14ac:dyDescent="0.2">
      <c r="A88" s="5" t="str">
        <v>Methanex New Zealand Ltd</v>
      </c>
      <c r="B88" s="5" t="str">
        <v>METH</v>
      </c>
      <c r="C88" s="5" t="str">
        <v>Direct Connect</v>
      </c>
      <c r="D88" s="13">
        <v>10000000</v>
      </c>
      <c r="E88" s="88">
        <v>0</v>
      </c>
      <c r="F88" s="23">
        <v>10918.598363309537</v>
      </c>
      <c r="G88" s="51">
        <v>54.532348720038577</v>
      </c>
      <c r="H88" s="23">
        <v>595416.81348203809</v>
      </c>
      <c r="I88" s="13">
        <v>99315.158050330647</v>
      </c>
      <c r="J88" s="23">
        <v>0</v>
      </c>
      <c r="K88" s="23">
        <v>10918.598363309537</v>
      </c>
      <c r="L88" s="23">
        <v>11128.979532295929</v>
      </c>
      <c r="M88" s="23">
        <v>1</v>
      </c>
      <c r="N88" s="23">
        <v>11128.979532295929</v>
      </c>
      <c r="O88" s="80">
        <v>54.53234872003857</v>
      </c>
      <c r="P88" s="23">
        <v>606889.39275333332</v>
      </c>
      <c r="Q88" s="23">
        <v>110787.73732162587</v>
      </c>
      <c r="S88" s="5" t="str">
        <f t="shared" si="8"/>
        <v>Methanex New Zealand Ltd</v>
      </c>
      <c r="T88" s="13">
        <f t="shared" si="9"/>
        <v>99315.158050330647</v>
      </c>
      <c r="U88" s="39"/>
    </row>
    <row r="89" spans="1:21" x14ac:dyDescent="0.2">
      <c r="A89" s="5" t="str">
        <v>New Zealand Steel Limited</v>
      </c>
      <c r="B89" s="5" t="str">
        <v>NZST</v>
      </c>
      <c r="C89" s="5" t="str">
        <v>Direct Connect</v>
      </c>
      <c r="D89" s="13">
        <v>10000000</v>
      </c>
      <c r="E89" s="88">
        <v>0</v>
      </c>
      <c r="F89" s="23">
        <v>160116.75527876121</v>
      </c>
      <c r="G89" s="51">
        <v>54.532348720038577</v>
      </c>
      <c r="H89" s="23">
        <v>8731542.7347824834</v>
      </c>
      <c r="I89" s="13">
        <v>79956.364809345454</v>
      </c>
      <c r="J89" s="23">
        <v>0</v>
      </c>
      <c r="K89" s="23">
        <v>160116.75527876121</v>
      </c>
      <c r="L89" s="23">
        <v>160682.13295340646</v>
      </c>
      <c r="M89" s="23">
        <v>1</v>
      </c>
      <c r="N89" s="23">
        <v>160682.13295340646</v>
      </c>
      <c r="O89" s="80">
        <v>54.53234872003857</v>
      </c>
      <c r="P89" s="23">
        <v>8762374.1072947625</v>
      </c>
      <c r="Q89" s="23">
        <v>110787.73732162453</v>
      </c>
      <c r="S89" s="5" t="str">
        <f t="shared" si="8"/>
        <v>New Zealand Steel Limited</v>
      </c>
      <c r="T89" s="13">
        <f t="shared" si="9"/>
        <v>79956.364809345454</v>
      </c>
      <c r="U89" s="39"/>
    </row>
    <row r="90" spans="1:21" x14ac:dyDescent="0.2">
      <c r="A90" s="5" t="str">
        <v>NZ Aluminium Smelters Limited</v>
      </c>
      <c r="B90" s="5" t="str">
        <v>NZAS</v>
      </c>
      <c r="C90" s="5" t="str">
        <v>Direct Connect</v>
      </c>
      <c r="D90" s="13">
        <v>10000000</v>
      </c>
      <c r="E90" s="88">
        <v>0</v>
      </c>
      <c r="F90" s="23">
        <v>591253.34185119113</v>
      </c>
      <c r="G90" s="51">
        <v>54.532348720038577</v>
      </c>
      <c r="H90" s="23">
        <v>32242433.419717334</v>
      </c>
      <c r="I90" s="13">
        <v>63537.571744907647</v>
      </c>
      <c r="J90" s="23">
        <v>0</v>
      </c>
      <c r="K90" s="23">
        <v>591253.34185119113</v>
      </c>
      <c r="L90" s="23">
        <v>592119.80307440553</v>
      </c>
      <c r="M90" s="23">
        <v>1</v>
      </c>
      <c r="N90" s="23">
        <v>592119.80307440553</v>
      </c>
      <c r="O90" s="80">
        <v>54.53234872003857</v>
      </c>
      <c r="P90" s="23">
        <v>32289683.585294049</v>
      </c>
      <c r="Q90" s="23">
        <v>110787.73732162267</v>
      </c>
      <c r="S90" s="5" t="str">
        <f t="shared" si="8"/>
        <v>NZ Aluminium Smelters Limited</v>
      </c>
      <c r="T90" s="13">
        <f t="shared" si="9"/>
        <v>63537.571744907647</v>
      </c>
      <c r="U90" s="39"/>
    </row>
    <row r="91" spans="1:21" x14ac:dyDescent="0.2">
      <c r="A91" s="5" t="str">
        <v>OMV New Zealand Limited</v>
      </c>
      <c r="B91" s="5" t="str">
        <v>OMVP</v>
      </c>
      <c r="C91" s="5" t="str">
        <v>Direct Connect</v>
      </c>
      <c r="D91" s="13">
        <v>10000000</v>
      </c>
      <c r="E91" s="88">
        <v>0</v>
      </c>
      <c r="F91" s="23">
        <v>0</v>
      </c>
      <c r="G91" s="51">
        <v>54.532348720038577</v>
      </c>
      <c r="H91" s="23">
        <v>0</v>
      </c>
      <c r="I91" s="13">
        <v>0</v>
      </c>
      <c r="J91" s="23">
        <v>0</v>
      </c>
      <c r="K91" s="23">
        <v>0</v>
      </c>
      <c r="L91" s="23">
        <v>0</v>
      </c>
      <c r="M91" s="23" t="str">
        <v/>
      </c>
      <c r="N91" s="23">
        <v>0</v>
      </c>
      <c r="O91" s="80">
        <v>54.53234872003857</v>
      </c>
      <c r="P91" s="23">
        <v>0</v>
      </c>
      <c r="Q91" s="23">
        <v>0</v>
      </c>
      <c r="S91" s="5" t="str">
        <f t="shared" si="8"/>
        <v>OMV New Zealand Limited</v>
      </c>
      <c r="T91" s="13">
        <f t="shared" si="9"/>
        <v>0</v>
      </c>
      <c r="U91" s="39">
        <f>Q90</f>
        <v>110787.73732162267</v>
      </c>
    </row>
    <row r="92" spans="1:21" x14ac:dyDescent="0.2">
      <c r="A92" s="5" t="str">
        <v>Pan Pac Forest Product Limited</v>
      </c>
      <c r="B92" s="5" t="str">
        <v>PANP</v>
      </c>
      <c r="C92" s="5" t="str">
        <v>Direct Connect</v>
      </c>
      <c r="D92" s="13">
        <v>10000000</v>
      </c>
      <c r="E92" s="88">
        <v>0</v>
      </c>
      <c r="F92" s="23">
        <v>79237.603819136057</v>
      </c>
      <c r="G92" s="51">
        <v>54.532348720038577</v>
      </c>
      <c r="H92" s="23">
        <v>4321012.6432053884</v>
      </c>
      <c r="I92" s="13">
        <v>82598.076092004776</v>
      </c>
      <c r="J92" s="23">
        <v>0</v>
      </c>
      <c r="K92" s="23">
        <v>79237.603819136057</v>
      </c>
      <c r="L92" s="23">
        <v>79754.538480695264</v>
      </c>
      <c r="M92" s="23">
        <v>1</v>
      </c>
      <c r="N92" s="23">
        <v>79754.538480695264</v>
      </c>
      <c r="O92" s="80">
        <v>54.53234872003857</v>
      </c>
      <c r="P92" s="23">
        <v>4349202.3044350091</v>
      </c>
      <c r="Q92" s="23">
        <v>110787.73732162546</v>
      </c>
      <c r="S92" s="5" t="str">
        <f t="shared" si="8"/>
        <v>Pan Pac Forest Product Limited</v>
      </c>
      <c r="T92" s="13">
        <f t="shared" si="9"/>
        <v>82598.076092004776</v>
      </c>
      <c r="U92" s="39"/>
    </row>
    <row r="93" spans="1:21" x14ac:dyDescent="0.2">
      <c r="A93" s="5" t="str">
        <v>Southpark Utilities Limited</v>
      </c>
      <c r="B93" s="5" t="str">
        <v>SHPK</v>
      </c>
      <c r="C93" s="5" t="str">
        <v>Direct Connect</v>
      </c>
      <c r="D93" s="13">
        <v>10000000</v>
      </c>
      <c r="E93" s="88">
        <v>0</v>
      </c>
      <c r="F93" s="23">
        <v>3886.2232264771665</v>
      </c>
      <c r="G93" s="51">
        <v>54.532348720038577</v>
      </c>
      <c r="H93" s="23">
        <v>211924.8801901663</v>
      </c>
      <c r="I93" s="13">
        <v>202578.5451054142</v>
      </c>
      <c r="J93" s="23">
        <v>0</v>
      </c>
      <c r="K93" s="23">
        <v>3886.2232264771665</v>
      </c>
      <c r="L93" s="23">
        <v>2202.9873135142129</v>
      </c>
      <c r="M93" s="23">
        <v>1</v>
      </c>
      <c r="N93" s="23">
        <v>2202.9873135142129</v>
      </c>
      <c r="O93" s="80">
        <v>54.53234872003857</v>
      </c>
      <c r="P93" s="23">
        <v>120134.07240637799</v>
      </c>
      <c r="Q93" s="23">
        <v>110787.73732162589</v>
      </c>
      <c r="S93" s="5" t="str">
        <f t="shared" si="8"/>
        <v>Southpark Utilities Limited</v>
      </c>
      <c r="T93" s="13">
        <f t="shared" si="9"/>
        <v>202578.5451054142</v>
      </c>
      <c r="U93" s="39"/>
    </row>
    <row r="94" spans="1:21" x14ac:dyDescent="0.2">
      <c r="A94" s="5" t="str">
        <v>Whareroa Cogeneration Limited</v>
      </c>
      <c r="B94" s="5" t="str">
        <v>KIWI</v>
      </c>
      <c r="C94" s="5" t="str">
        <v>Direct Connect</v>
      </c>
      <c r="D94" s="13">
        <v>10000000</v>
      </c>
      <c r="E94" s="88">
        <v>0</v>
      </c>
      <c r="F94" s="23">
        <v>30806.964212188544</v>
      </c>
      <c r="G94" s="51">
        <v>54.532348720038577</v>
      </c>
      <c r="H94" s="23">
        <v>1679976.1154248142</v>
      </c>
      <c r="I94" s="13">
        <v>99061.866335224127</v>
      </c>
      <c r="J94" s="23">
        <v>0</v>
      </c>
      <c r="K94" s="23">
        <v>30806.964212188544</v>
      </c>
      <c r="L94" s="23">
        <v>31021.990178640139</v>
      </c>
      <c r="M94" s="23">
        <v>1</v>
      </c>
      <c r="N94" s="23">
        <v>31021.990178640139</v>
      </c>
      <c r="O94" s="80">
        <v>54.53234872003857</v>
      </c>
      <c r="P94" s="23">
        <v>1691701.9864112157</v>
      </c>
      <c r="Q94" s="23">
        <v>110787.7373216257</v>
      </c>
      <c r="S94" s="5" t="str">
        <f t="shared" si="8"/>
        <v>Whareroa Cogeneration Limited</v>
      </c>
      <c r="T94" s="13">
        <f t="shared" si="9"/>
        <v>99061.866335224127</v>
      </c>
      <c r="U94" s="39"/>
    </row>
    <row r="95" spans="1:21" x14ac:dyDescent="0.2">
      <c r="A95" s="5" t="str">
        <v>Winstone Pulp International</v>
      </c>
      <c r="B95" s="5" t="str">
        <v>WNST</v>
      </c>
      <c r="C95" s="5" t="str">
        <v>Direct Connect</v>
      </c>
      <c r="D95" s="13">
        <v>10000000</v>
      </c>
      <c r="E95" s="88">
        <v>0</v>
      </c>
      <c r="F95" s="23">
        <v>37910.926352656446</v>
      </c>
      <c r="G95" s="51">
        <v>54.532348720038577</v>
      </c>
      <c r="H95" s="23">
        <v>2067371.8561627616</v>
      </c>
      <c r="I95" s="13">
        <v>82528.506762170233</v>
      </c>
      <c r="J95" s="23">
        <v>0</v>
      </c>
      <c r="K95" s="23">
        <v>37910.926352656446</v>
      </c>
      <c r="L95" s="23">
        <v>38429.136758456763</v>
      </c>
      <c r="M95" s="23">
        <v>1</v>
      </c>
      <c r="N95" s="23">
        <v>38429.136758456763</v>
      </c>
      <c r="O95" s="80">
        <v>54.53234872003857</v>
      </c>
      <c r="P95" s="23">
        <v>2095631.0867222168</v>
      </c>
      <c r="Q95" s="23">
        <v>110787.73732162546</v>
      </c>
      <c r="S95" s="5" t="str">
        <f t="shared" si="8"/>
        <v>Winstone Pulp International</v>
      </c>
      <c r="T95" s="13">
        <f t="shared" si="9"/>
        <v>82528.506762170233</v>
      </c>
      <c r="U95" s="39"/>
    </row>
    <row r="96" spans="1:21" x14ac:dyDescent="0.2">
      <c r="A96" s="23" t="str">
        <v>Oji Fibre Solutions (NZ) Ltd</v>
      </c>
      <c r="B96" s="23" t="str">
        <v>CHHE</v>
      </c>
      <c r="C96" s="23" t="str">
        <v>Direct Connect</v>
      </c>
      <c r="D96" s="23">
        <v>10000000</v>
      </c>
      <c r="E96" s="23">
        <v>0</v>
      </c>
      <c r="F96" s="23">
        <v>0</v>
      </c>
      <c r="G96" s="23">
        <v>0</v>
      </c>
      <c r="H96" s="23">
        <v>0</v>
      </c>
      <c r="I96" s="23">
        <v>0</v>
      </c>
      <c r="J96" s="23">
        <v>0</v>
      </c>
      <c r="K96" s="23">
        <v>0</v>
      </c>
      <c r="L96" s="23">
        <v>0</v>
      </c>
      <c r="M96" s="23">
        <v>0</v>
      </c>
      <c r="N96" s="23">
        <v>0</v>
      </c>
      <c r="O96" s="23">
        <v>0</v>
      </c>
      <c r="P96" s="23">
        <v>0</v>
      </c>
      <c r="Q96" s="23">
        <v>0</v>
      </c>
      <c r="S96" s="5" t="str">
        <f t="shared" ref="S96" si="10">A96</f>
        <v>Oji Fibre Solutions (NZ) Ltd</v>
      </c>
      <c r="T96" s="13">
        <f t="shared" si="9"/>
        <v>0</v>
      </c>
      <c r="U96" s="39"/>
    </row>
    <row r="98" spans="1:21" ht="15" x14ac:dyDescent="0.25">
      <c r="S98" s="37" t="s">
        <v>38</v>
      </c>
      <c r="T98" s="13">
        <f>MIN($T$85:$T$90,$T$92:$T$94)</f>
        <v>63537.571744907647</v>
      </c>
      <c r="U98" s="39"/>
    </row>
    <row r="99" spans="1:21" ht="15" x14ac:dyDescent="0.25">
      <c r="S99" s="41" t="s">
        <v>39</v>
      </c>
      <c r="T99" s="120">
        <f>MEDIAN($T$85:$T$90,$T$92:$T$95)</f>
        <v>84904.320103232225</v>
      </c>
      <c r="U99" s="42">
        <f>MEDIAN(U85:U95)</f>
        <v>110787.73732162267</v>
      </c>
    </row>
    <row r="100" spans="1:21" ht="23.25" x14ac:dyDescent="0.35">
      <c r="A100" s="28" t="s">
        <v>43</v>
      </c>
      <c r="S100" s="37" t="s">
        <v>40</v>
      </c>
      <c r="T100" s="121">
        <f>MAX($T$85:$T$90,$T$92:$T$94)</f>
        <v>476672.079261126</v>
      </c>
    </row>
    <row r="101" spans="1:21" ht="29.25" customHeight="1" x14ac:dyDescent="0.2"/>
    <row r="103" spans="1:21" ht="30" x14ac:dyDescent="0.2">
      <c r="E103" s="79" t="s">
        <v>44</v>
      </c>
      <c r="F103" s="79"/>
    </row>
    <row r="104" spans="1:21" ht="15" x14ac:dyDescent="0.2">
      <c r="E104" s="21" t="s">
        <v>35</v>
      </c>
      <c r="F104" s="21" t="s">
        <v>45</v>
      </c>
    </row>
    <row r="105" spans="1:21" x14ac:dyDescent="0.2">
      <c r="A105" s="44" t="s">
        <v>34</v>
      </c>
      <c r="B105" s="44" t="s">
        <v>39</v>
      </c>
      <c r="C105" s="44"/>
      <c r="D105" s="44"/>
      <c r="E105" s="13">
        <f>T39</f>
        <v>113629.11892842408</v>
      </c>
      <c r="F105" s="13">
        <f>U39</f>
        <v>110787.73732162546</v>
      </c>
    </row>
    <row r="106" spans="1:21" x14ac:dyDescent="0.2">
      <c r="A106" s="44" t="s">
        <v>42</v>
      </c>
      <c r="B106" s="44" t="s">
        <v>39</v>
      </c>
      <c r="C106" s="44"/>
      <c r="D106" s="44"/>
      <c r="E106" s="13">
        <f>T99</f>
        <v>84904.320103232225</v>
      </c>
      <c r="F106" s="13">
        <f>U99</f>
        <v>110787.73732162267</v>
      </c>
    </row>
    <row r="107" spans="1:21" x14ac:dyDescent="0.2">
      <c r="A107" s="44" t="s">
        <v>41</v>
      </c>
      <c r="B107" s="44" t="s">
        <v>39</v>
      </c>
      <c r="C107" s="44"/>
      <c r="D107" s="44"/>
      <c r="E107" s="13">
        <f>T76</f>
        <v>1394813.0824658014</v>
      </c>
      <c r="F107" s="13">
        <f>U76</f>
        <v>110787.7373216257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5E56D-002C-4895-A89F-2C08D17850F7}">
  <sheetPr>
    <tabColor theme="5" tint="0.39997558519241921"/>
  </sheetPr>
  <dimension ref="A1:S303"/>
  <sheetViews>
    <sheetView showGridLines="0" topLeftCell="A43" zoomScale="55" zoomScaleNormal="55" workbookViewId="0"/>
  </sheetViews>
  <sheetFormatPr defaultRowHeight="14.25" x14ac:dyDescent="0.2"/>
  <cols>
    <col min="1" max="1" width="41.875" customWidth="1"/>
    <col min="2" max="2" width="52" customWidth="1"/>
    <col min="3" max="3" width="23.375" customWidth="1"/>
    <col min="4" max="4" width="29.625" customWidth="1"/>
    <col min="5" max="5" width="30.875" customWidth="1"/>
    <col min="6" max="6" width="24.25" customWidth="1"/>
    <col min="7" max="7" width="17.75" customWidth="1"/>
    <col min="8" max="8" width="27.25" customWidth="1"/>
    <col min="9" max="9" width="29.875" customWidth="1"/>
    <col min="10" max="10" width="27.75" customWidth="1"/>
    <col min="11" max="11" width="25.125" customWidth="1"/>
    <col min="12" max="12" width="36.625" customWidth="1"/>
    <col min="13" max="13" width="27.625" customWidth="1"/>
    <col min="14" max="14" width="23.25" customWidth="1"/>
    <col min="15" max="15" width="37.875" customWidth="1"/>
    <col min="16" max="17" width="19.375" customWidth="1"/>
    <col min="18" max="18" width="30.75" customWidth="1"/>
    <col min="19" max="19" width="37.875" customWidth="1"/>
    <col min="20" max="20" width="23.375" customWidth="1"/>
    <col min="21" max="22" width="20.625" customWidth="1"/>
    <col min="23" max="23" width="30" customWidth="1"/>
    <col min="24" max="25" width="20.625" customWidth="1"/>
    <col min="26" max="26" width="13.5" bestFit="1" customWidth="1"/>
    <col min="27" max="27" width="20.5" customWidth="1"/>
    <col min="31" max="31" width="20" customWidth="1"/>
    <col min="32" max="32" width="17" customWidth="1"/>
  </cols>
  <sheetData>
    <row r="1" spans="1:17" ht="27.75" x14ac:dyDescent="0.4">
      <c r="A1" s="113" t="s">
        <v>46</v>
      </c>
      <c r="I1" s="19"/>
      <c r="Q1" s="2"/>
    </row>
    <row r="2" spans="1:17" ht="15.75" x14ac:dyDescent="0.25">
      <c r="I2" s="19"/>
      <c r="N2" s="22"/>
      <c r="Q2" s="2"/>
    </row>
    <row r="3" spans="1:17" x14ac:dyDescent="0.2">
      <c r="I3" s="19"/>
      <c r="N3" s="2"/>
    </row>
    <row r="4" spans="1:17" x14ac:dyDescent="0.2">
      <c r="H4" s="24" t="s">
        <v>47</v>
      </c>
      <c r="I4" s="30">
        <f>'Inputs - Part 1'!C9</f>
        <v>54.532348720038577</v>
      </c>
    </row>
    <row r="5" spans="1:17" ht="15" x14ac:dyDescent="0.25">
      <c r="A5" s="4" t="s">
        <v>48</v>
      </c>
      <c r="I5" s="19"/>
    </row>
    <row r="6" spans="1:17" x14ac:dyDescent="0.2">
      <c r="A6" t="s">
        <v>49</v>
      </c>
      <c r="D6" t="s">
        <v>50</v>
      </c>
      <c r="E6" t="s">
        <v>51</v>
      </c>
    </row>
    <row r="7" spans="1:17" ht="30" x14ac:dyDescent="0.2">
      <c r="A7" s="20" t="s">
        <v>52</v>
      </c>
      <c r="B7" s="20" t="s">
        <v>53</v>
      </c>
      <c r="C7" s="20" t="s">
        <v>54</v>
      </c>
      <c r="D7" s="20" t="s">
        <v>55</v>
      </c>
      <c r="E7" s="20" t="s">
        <v>56</v>
      </c>
      <c r="F7" s="20" t="s">
        <v>57</v>
      </c>
      <c r="G7" s="20" t="s">
        <v>58</v>
      </c>
      <c r="H7" s="20" t="s">
        <v>59</v>
      </c>
      <c r="I7" s="21" t="s">
        <v>60</v>
      </c>
      <c r="J7" s="21" t="s">
        <v>61</v>
      </c>
      <c r="L7" s="21" t="s">
        <v>62</v>
      </c>
    </row>
    <row r="8" spans="1:17" x14ac:dyDescent="0.2">
      <c r="A8" s="5" t="s">
        <v>63</v>
      </c>
      <c r="B8" s="5" t="s">
        <v>64</v>
      </c>
      <c r="C8" s="5" t="s">
        <v>65</v>
      </c>
      <c r="D8" s="23">
        <f>_xlfn.XLOOKUP($B8,'Inputs - Part 1'!$B$17:$B$66,'Inputs - Part 1'!$C$17:$C$66,FALSE)</f>
        <v>157908.87169791179</v>
      </c>
      <c r="E8" s="13">
        <f>F8</f>
        <v>807441758.80079627</v>
      </c>
      <c r="F8" s="23">
        <f>_xlfn.XLOOKUP($B8, 'Inputs - Part 1'!$B$281:$B$333,'Inputs - Part 1'!$C$281:$C$333,FALSE)</f>
        <v>807441758.80079627</v>
      </c>
      <c r="G8" s="67">
        <f>IFERROR(F8/E8,"")</f>
        <v>1</v>
      </c>
      <c r="H8" s="13">
        <f>IFERROR(G8*D8,"")</f>
        <v>157908.87169791179</v>
      </c>
      <c r="I8" s="66">
        <f t="shared" ref="I8:I37" si="0">$I$4</f>
        <v>54.532348720038577</v>
      </c>
      <c r="J8" s="25">
        <f>IFERROR(H8*I8,"")</f>
        <v>8611141.6574183553</v>
      </c>
      <c r="L8" s="25" t="b">
        <f t="shared" ref="L8:L39" si="1">J8=G73</f>
        <v>1</v>
      </c>
    </row>
    <row r="9" spans="1:17" x14ac:dyDescent="0.2">
      <c r="A9" s="5" t="s">
        <v>66</v>
      </c>
      <c r="B9" s="5" t="s">
        <v>67</v>
      </c>
      <c r="C9" s="5" t="s">
        <v>65</v>
      </c>
      <c r="D9" s="23">
        <f>_xlfn.XLOOKUP($B9,'Inputs - Part 1'!$B$17:$B$66,'Inputs - Part 1'!$C$17:$C$66,FALSE)</f>
        <v>314515.10018347035</v>
      </c>
      <c r="E9" s="13">
        <f t="shared" ref="E9:E57" si="2">F9</f>
        <v>1397234573.344038</v>
      </c>
      <c r="F9" s="23">
        <f>_xlfn.XLOOKUP($B9, 'Inputs - Part 1'!$B$281:$B$333,'Inputs - Part 1'!$C$281:$C$333,FALSE)</f>
        <v>1397234573.344038</v>
      </c>
      <c r="G9" s="67">
        <f>IFERROR(F9/E9,"")</f>
        <v>1</v>
      </c>
      <c r="H9" s="13">
        <f t="shared" ref="H9:H57" si="3">IFERROR(G9*D9,"")</f>
        <v>314515.10018347035</v>
      </c>
      <c r="I9" s="66">
        <f t="shared" si="0"/>
        <v>54.532348720038577</v>
      </c>
      <c r="J9" s="25">
        <f t="shared" ref="J9:J57" si="4">IFERROR(H9*I9,"")</f>
        <v>17151247.120922875</v>
      </c>
      <c r="L9" s="25" t="b">
        <f t="shared" si="1"/>
        <v>1</v>
      </c>
    </row>
    <row r="10" spans="1:17" x14ac:dyDescent="0.2">
      <c r="A10" s="5" t="s">
        <v>68</v>
      </c>
      <c r="B10" s="5" t="s">
        <v>69</v>
      </c>
      <c r="C10" s="5" t="s">
        <v>70</v>
      </c>
      <c r="D10" s="23">
        <f>_xlfn.XLOOKUP($B10,'Inputs - Part 1'!$B$17:$B$66,'Inputs - Part 1'!$C$17:$C$66,FALSE)</f>
        <v>9169.2914333076369</v>
      </c>
      <c r="E10" s="13">
        <f t="shared" si="2"/>
        <v>60196660.750880986</v>
      </c>
      <c r="F10" s="23">
        <f>_xlfn.XLOOKUP($B10, 'Inputs - Part 1'!$B$281:$B$333,'Inputs - Part 1'!$C$281:$C$333,FALSE)</f>
        <v>60196660.750880986</v>
      </c>
      <c r="G10" s="67">
        <f t="shared" ref="G10:G57" si="5">IFERROR(F10/E10,"")</f>
        <v>1</v>
      </c>
      <c r="H10" s="13">
        <f>IFERROR(G10*D10,"")</f>
        <v>9169.2914333076369</v>
      </c>
      <c r="I10" s="66">
        <f t="shared" si="0"/>
        <v>54.532348720038577</v>
      </c>
      <c r="J10" s="25">
        <f t="shared" si="4"/>
        <v>500022.9979567944</v>
      </c>
      <c r="L10" s="25" t="b">
        <f t="shared" si="1"/>
        <v>1</v>
      </c>
    </row>
    <row r="11" spans="1:17" x14ac:dyDescent="0.2">
      <c r="A11" s="5" t="s">
        <v>71</v>
      </c>
      <c r="B11" s="5" t="s">
        <v>72</v>
      </c>
      <c r="C11" s="5" t="s">
        <v>65</v>
      </c>
      <c r="D11" s="23">
        <f>_xlfn.XLOOKUP($B11,'Inputs - Part 1'!$B$17:$B$66,'Inputs - Part 1'!$C$17:$C$66,FALSE)</f>
        <v>12557.346564605836</v>
      </c>
      <c r="E11" s="13">
        <f t="shared" si="2"/>
        <v>64988439.821759999</v>
      </c>
      <c r="F11" s="23">
        <f>_xlfn.XLOOKUP($B11, 'Inputs - Part 1'!$B$281:$B$333,'Inputs - Part 1'!$C$281:$C$333,FALSE)</f>
        <v>64988439.821759999</v>
      </c>
      <c r="G11" s="67">
        <f t="shared" si="5"/>
        <v>1</v>
      </c>
      <c r="H11" s="13">
        <f t="shared" si="3"/>
        <v>12557.346564605836</v>
      </c>
      <c r="I11" s="66">
        <f t="shared" si="0"/>
        <v>54.532348720038577</v>
      </c>
      <c r="J11" s="25">
        <f t="shared" si="4"/>
        <v>684781.60185946384</v>
      </c>
      <c r="L11" s="25" t="b">
        <f t="shared" si="1"/>
        <v>1</v>
      </c>
    </row>
    <row r="12" spans="1:17" x14ac:dyDescent="0.2">
      <c r="A12" s="5" t="s">
        <v>73</v>
      </c>
      <c r="B12" s="5" t="s">
        <v>74</v>
      </c>
      <c r="C12" s="5" t="s">
        <v>65</v>
      </c>
      <c r="D12" s="23">
        <f>_xlfn.XLOOKUP($B12,'Inputs - Part 1'!$B$17:$B$66,'Inputs - Part 1'!$C$17:$C$66,FALSE)</f>
        <v>20401.126551369241</v>
      </c>
      <c r="E12" s="13">
        <f t="shared" si="2"/>
        <v>116244161.72825974</v>
      </c>
      <c r="F12" s="23">
        <f>_xlfn.XLOOKUP($B12, 'Inputs - Part 1'!$B$281:$B$333,'Inputs - Part 1'!$C$281:$C$333,FALSE)</f>
        <v>116244161.72825974</v>
      </c>
      <c r="G12" s="67">
        <f t="shared" si="5"/>
        <v>1</v>
      </c>
      <c r="H12" s="13">
        <f t="shared" si="3"/>
        <v>20401.126551369241</v>
      </c>
      <c r="I12" s="66">
        <f t="shared" si="0"/>
        <v>54.532348720038577</v>
      </c>
      <c r="J12" s="25">
        <f t="shared" si="4"/>
        <v>1112521.3473809054</v>
      </c>
      <c r="L12" s="25" t="b">
        <f t="shared" si="1"/>
        <v>1</v>
      </c>
    </row>
    <row r="13" spans="1:17" x14ac:dyDescent="0.2">
      <c r="A13" s="5" t="s">
        <v>75</v>
      </c>
      <c r="B13" s="5" t="s">
        <v>76</v>
      </c>
      <c r="C13" s="5" t="s">
        <v>41</v>
      </c>
      <c r="D13" s="23">
        <f>_xlfn.XLOOKUP($B13,'Inputs - Part 1'!$B$17:$B$66,'Inputs - Part 1'!$C$17:$C$66,FALSE)</f>
        <v>23926.403185245243</v>
      </c>
      <c r="E13" s="13">
        <f>F13</f>
        <v>7520721.5444087246</v>
      </c>
      <c r="F13" s="23">
        <f>_xlfn.XLOOKUP($B13, 'Inputs - Part 1'!$B$281:$B$333,'Inputs - Part 1'!$C$281:$C$333,FALSE)</f>
        <v>7520721.5444087246</v>
      </c>
      <c r="G13" s="67">
        <f t="shared" si="5"/>
        <v>1</v>
      </c>
      <c r="H13" s="13">
        <f t="shared" si="3"/>
        <v>23926.403185245243</v>
      </c>
      <c r="I13" s="66">
        <f>$I$4</f>
        <v>54.532348720038577</v>
      </c>
      <c r="J13" s="25">
        <f t="shared" si="4"/>
        <v>1304762.9621140354</v>
      </c>
      <c r="L13" s="25" t="b">
        <f t="shared" si="1"/>
        <v>1</v>
      </c>
    </row>
    <row r="14" spans="1:17" x14ac:dyDescent="0.2">
      <c r="A14" s="5" t="s">
        <v>77</v>
      </c>
      <c r="B14" s="5" t="s">
        <v>78</v>
      </c>
      <c r="C14" s="5" t="s">
        <v>65</v>
      </c>
      <c r="D14" s="23">
        <f>_xlfn.XLOOKUP($B14,'Inputs - Part 1'!$B$17:$B$66,'Inputs - Part 1'!$C$17:$C$66,FALSE)</f>
        <v>125646.12072311423</v>
      </c>
      <c r="E14" s="13">
        <f t="shared" si="2"/>
        <v>594682638.53226733</v>
      </c>
      <c r="F14" s="23">
        <f>_xlfn.XLOOKUP($B14, 'Inputs - Part 1'!$B$281:$B$333,'Inputs - Part 1'!$C$281:$C$333,FALSE)</f>
        <v>594682638.53226733</v>
      </c>
      <c r="G14" s="67">
        <f t="shared" si="5"/>
        <v>1</v>
      </c>
      <c r="H14" s="13">
        <f t="shared" si="3"/>
        <v>125646.12072311423</v>
      </c>
      <c r="I14" s="66">
        <f t="shared" si="0"/>
        <v>54.532348720038577</v>
      </c>
      <c r="J14" s="25">
        <f t="shared" si="4"/>
        <v>6851778.0705929305</v>
      </c>
      <c r="L14" s="25" t="b">
        <f t="shared" si="1"/>
        <v>1</v>
      </c>
    </row>
    <row r="15" spans="1:17" x14ac:dyDescent="0.2">
      <c r="A15" s="5" t="s">
        <v>79</v>
      </c>
      <c r="B15" s="5" t="s">
        <v>80</v>
      </c>
      <c r="C15" s="5" t="s">
        <v>70</v>
      </c>
      <c r="D15" s="23">
        <f>_xlfn.XLOOKUP($B15,'Inputs - Part 1'!$B$17:$B$66,'Inputs - Part 1'!$C$17:$C$66,FALSE)</f>
        <v>9212.9301183784573</v>
      </c>
      <c r="E15" s="13">
        <f t="shared" si="2"/>
        <v>57918041.432570472</v>
      </c>
      <c r="F15" s="23">
        <f>_xlfn.XLOOKUP($B15, 'Inputs - Part 1'!$B$281:$B$333,'Inputs - Part 1'!$C$281:$C$333,FALSE)</f>
        <v>57918041.432570472</v>
      </c>
      <c r="G15" s="67">
        <f t="shared" si="5"/>
        <v>1</v>
      </c>
      <c r="H15" s="13">
        <f t="shared" si="3"/>
        <v>9212.9301183784573</v>
      </c>
      <c r="I15" s="66">
        <f t="shared" si="0"/>
        <v>54.532348720038577</v>
      </c>
      <c r="J15" s="25">
        <f t="shared" si="4"/>
        <v>502402.71794876031</v>
      </c>
      <c r="L15" s="25" t="b">
        <f t="shared" si="1"/>
        <v>1</v>
      </c>
    </row>
    <row r="16" spans="1:17" x14ac:dyDescent="0.2">
      <c r="A16" s="5" t="s">
        <v>81</v>
      </c>
      <c r="B16" s="5" t="s">
        <v>82</v>
      </c>
      <c r="C16" s="5" t="s">
        <v>65</v>
      </c>
      <c r="D16" s="23">
        <f>_xlfn.XLOOKUP($B16,'Inputs - Part 1'!$B$17:$B$66,'Inputs - Part 1'!$C$17:$C$66,FALSE)</f>
        <v>164353.54933700786</v>
      </c>
      <c r="E16" s="13">
        <f t="shared" si="2"/>
        <v>605647198.91170764</v>
      </c>
      <c r="F16" s="23">
        <f>_xlfn.XLOOKUP($B16, 'Inputs - Part 1'!$B$281:$B$333,'Inputs - Part 1'!$C$281:$C$333,FALSE)</f>
        <v>605647198.91170764</v>
      </c>
      <c r="G16" s="67">
        <f t="shared" si="5"/>
        <v>1</v>
      </c>
      <c r="H16" s="13">
        <f t="shared" si="3"/>
        <v>164353.54933700786</v>
      </c>
      <c r="I16" s="66">
        <f t="shared" si="0"/>
        <v>54.532348720038577</v>
      </c>
      <c r="J16" s="25">
        <f t="shared" si="4"/>
        <v>8962585.065821778</v>
      </c>
      <c r="L16" s="25" t="b">
        <f t="shared" si="1"/>
        <v>1</v>
      </c>
    </row>
    <row r="17" spans="1:12" x14ac:dyDescent="0.2">
      <c r="A17" s="5" t="s">
        <v>83</v>
      </c>
      <c r="B17" s="5" t="s">
        <v>84</v>
      </c>
      <c r="C17" s="5" t="s">
        <v>65</v>
      </c>
      <c r="D17" s="23">
        <f>_xlfn.XLOOKUP($B17,'Inputs - Part 1'!$B$17:$B$66,'Inputs - Part 1'!$C$17:$C$66,FALSE)</f>
        <v>111170.00569507317</v>
      </c>
      <c r="E17" s="13">
        <f t="shared" si="2"/>
        <v>441580343.09946805</v>
      </c>
      <c r="F17" s="23">
        <f>_xlfn.XLOOKUP($B17, 'Inputs - Part 1'!$B$281:$B$333,'Inputs - Part 1'!$C$281:$C$333,FALSE)</f>
        <v>441580343.09946805</v>
      </c>
      <c r="G17" s="67">
        <f t="shared" si="5"/>
        <v>1</v>
      </c>
      <c r="H17" s="13">
        <f t="shared" si="3"/>
        <v>111170.00569507317</v>
      </c>
      <c r="I17" s="66">
        <f t="shared" si="0"/>
        <v>54.532348720038577</v>
      </c>
      <c r="J17" s="25">
        <f t="shared" si="4"/>
        <v>6062361.5177724045</v>
      </c>
      <c r="L17" s="25" t="b">
        <f t="shared" si="1"/>
        <v>1</v>
      </c>
    </row>
    <row r="18" spans="1:12" x14ac:dyDescent="0.2">
      <c r="A18" s="5" t="s">
        <v>85</v>
      </c>
      <c r="B18" s="5" t="s">
        <v>86</v>
      </c>
      <c r="C18" s="5" t="s">
        <v>65</v>
      </c>
      <c r="D18" s="23">
        <f>_xlfn.XLOOKUP($B18,'Inputs - Part 1'!$B$17:$B$66,'Inputs - Part 1'!$C$17:$C$66,FALSE)</f>
        <v>60328.437034872062</v>
      </c>
      <c r="E18" s="13">
        <f t="shared" si="2"/>
        <v>306423642.62857062</v>
      </c>
      <c r="F18" s="23">
        <f>_xlfn.XLOOKUP($B18, 'Inputs - Part 1'!$B$281:$B$333,'Inputs - Part 1'!$C$281:$C$333,FALSE)</f>
        <v>306423642.62857062</v>
      </c>
      <c r="G18" s="67">
        <f t="shared" si="5"/>
        <v>1</v>
      </c>
      <c r="H18" s="13">
        <f t="shared" si="3"/>
        <v>60328.437034872062</v>
      </c>
      <c r="I18" s="66">
        <f t="shared" si="0"/>
        <v>54.532348720038577</v>
      </c>
      <c r="J18" s="25">
        <f t="shared" si="4"/>
        <v>3289851.3661205336</v>
      </c>
      <c r="L18" s="25" t="b">
        <f t="shared" si="1"/>
        <v>1</v>
      </c>
    </row>
    <row r="19" spans="1:12" x14ac:dyDescent="0.2">
      <c r="A19" s="5" t="s">
        <v>87</v>
      </c>
      <c r="B19" s="5" t="s">
        <v>88</v>
      </c>
      <c r="C19" s="5" t="s">
        <v>41</v>
      </c>
      <c r="D19" s="23">
        <f>_xlfn.XLOOKUP($B19,'Inputs - Part 1'!$B$17:$B$66,'Inputs - Part 1'!$C$17:$C$66,FALSE)</f>
        <v>12257.209096288712</v>
      </c>
      <c r="E19" s="13">
        <f t="shared" si="2"/>
        <v>4792143.1851757336</v>
      </c>
      <c r="F19" s="23">
        <f>_xlfn.XLOOKUP($B19, 'Inputs - Part 1'!$B$281:$B$333,'Inputs - Part 1'!$C$281:$C$333,FALSE)</f>
        <v>4792143.1851757336</v>
      </c>
      <c r="G19" s="67">
        <f t="shared" si="5"/>
        <v>1</v>
      </c>
      <c r="H19" s="13">
        <f t="shared" si="3"/>
        <v>12257.209096288712</v>
      </c>
      <c r="I19" s="66">
        <f t="shared" si="0"/>
        <v>54.532348720038577</v>
      </c>
      <c r="J19" s="25">
        <f t="shared" si="4"/>
        <v>668414.40077324491</v>
      </c>
      <c r="L19" s="25" t="b">
        <f t="shared" si="1"/>
        <v>1</v>
      </c>
    </row>
    <row r="20" spans="1:12" x14ac:dyDescent="0.2">
      <c r="A20" s="5" t="s">
        <v>89</v>
      </c>
      <c r="B20" s="5" t="s">
        <v>90</v>
      </c>
      <c r="C20" s="5" t="s">
        <v>65</v>
      </c>
      <c r="D20" s="23">
        <f>_xlfn.XLOOKUP($B20,'Inputs - Part 1'!$B$17:$B$66,'Inputs - Part 1'!$C$17:$C$66,FALSE)</f>
        <v>93955.435419196016</v>
      </c>
      <c r="E20" s="13">
        <f t="shared" si="2"/>
        <v>519500798.82964933</v>
      </c>
      <c r="F20" s="23">
        <f>_xlfn.XLOOKUP($B20, 'Inputs - Part 1'!$B$281:$B$333,'Inputs - Part 1'!$C$281:$C$333,FALSE)</f>
        <v>519500798.82964933</v>
      </c>
      <c r="G20" s="67">
        <f t="shared" si="5"/>
        <v>1</v>
      </c>
      <c r="H20" s="13">
        <f t="shared" si="3"/>
        <v>93955.435419196016</v>
      </c>
      <c r="I20" s="66">
        <f t="shared" si="0"/>
        <v>54.532348720038577</v>
      </c>
      <c r="J20" s="25">
        <f t="shared" si="4"/>
        <v>5123610.5684226612</v>
      </c>
      <c r="L20" s="25" t="b">
        <f t="shared" si="1"/>
        <v>1</v>
      </c>
    </row>
    <row r="21" spans="1:12" x14ac:dyDescent="0.2">
      <c r="A21" s="5" t="s">
        <v>91</v>
      </c>
      <c r="B21" s="5" t="s">
        <v>92</v>
      </c>
      <c r="C21" s="5" t="s">
        <v>70</v>
      </c>
      <c r="D21" s="23">
        <f>_xlfn.XLOOKUP($B21,'Inputs - Part 1'!$B$17:$B$66,'Inputs - Part 1'!$C$17:$C$66,FALSE)</f>
        <v>44295.030922028483</v>
      </c>
      <c r="E21" s="13">
        <f t="shared" si="2"/>
        <v>50674503.036744997</v>
      </c>
      <c r="F21" s="23">
        <f>_xlfn.XLOOKUP($B21, 'Inputs - Part 1'!$B$281:$B$333,'Inputs - Part 1'!$C$281:$C$333,FALSE)</f>
        <v>50674503.036744997</v>
      </c>
      <c r="G21" s="67">
        <f t="shared" si="5"/>
        <v>1</v>
      </c>
      <c r="H21" s="13">
        <f t="shared" si="3"/>
        <v>44295.030922028483</v>
      </c>
      <c r="I21" s="66">
        <f t="shared" si="0"/>
        <v>54.532348720038577</v>
      </c>
      <c r="J21" s="25">
        <f t="shared" si="4"/>
        <v>2415512.0728049492</v>
      </c>
      <c r="L21" s="25" t="b">
        <f t="shared" si="1"/>
        <v>1</v>
      </c>
    </row>
    <row r="22" spans="1:12" x14ac:dyDescent="0.2">
      <c r="A22" s="5" t="s">
        <v>93</v>
      </c>
      <c r="B22" s="5" t="s">
        <v>94</v>
      </c>
      <c r="C22" s="5" t="s">
        <v>65</v>
      </c>
      <c r="D22" s="23">
        <f>_xlfn.XLOOKUP($B22,'Inputs - Part 1'!$B$17:$B$66,'Inputs - Part 1'!$C$17:$C$66,FALSE)</f>
        <v>133694.55012636675</v>
      </c>
      <c r="E22" s="13">
        <f t="shared" si="2"/>
        <v>641620554.50348079</v>
      </c>
      <c r="F22" s="23">
        <f>_xlfn.XLOOKUP($B22, 'Inputs - Part 1'!$B$281:$B$333,'Inputs - Part 1'!$C$281:$C$333,FALSE)</f>
        <v>641620554.50348079</v>
      </c>
      <c r="G22" s="67">
        <f t="shared" si="5"/>
        <v>1</v>
      </c>
      <c r="H22" s="13">
        <f t="shared" si="3"/>
        <v>133694.55012636675</v>
      </c>
      <c r="I22" s="66">
        <f t="shared" si="0"/>
        <v>54.532348720038577</v>
      </c>
      <c r="J22" s="25">
        <f t="shared" si="4"/>
        <v>7290677.8294597091</v>
      </c>
      <c r="L22" s="25" t="b">
        <f t="shared" si="1"/>
        <v>1</v>
      </c>
    </row>
    <row r="23" spans="1:12" x14ac:dyDescent="0.2">
      <c r="A23" s="5" t="s">
        <v>95</v>
      </c>
      <c r="B23" s="5" t="s">
        <v>96</v>
      </c>
      <c r="C23" s="5" t="s">
        <v>41</v>
      </c>
      <c r="D23" s="32">
        <f>_xlfn.XLOOKUP($B23,'Inputs - Part 1'!$B$17:$B$66,'Inputs - Part 1'!$C$17:$C$66,FALSE)</f>
        <v>594.66598784988241</v>
      </c>
      <c r="E23" s="13">
        <f t="shared" si="2"/>
        <v>112125.0594066098</v>
      </c>
      <c r="F23" s="23">
        <f>_xlfn.XLOOKUP($B23, 'Inputs - Part 1'!$B$281:$B$333,'Inputs - Part 1'!$C$281:$C$333,FALSE)</f>
        <v>112125.0594066098</v>
      </c>
      <c r="G23" s="67">
        <f t="shared" si="5"/>
        <v>1</v>
      </c>
      <c r="H23" s="13">
        <f t="shared" si="3"/>
        <v>594.66598784988241</v>
      </c>
      <c r="I23" s="66">
        <f t="shared" si="0"/>
        <v>54.532348720038577</v>
      </c>
      <c r="J23" s="25">
        <f t="shared" si="4"/>
        <v>32428.53302137601</v>
      </c>
      <c r="L23" s="25" t="b">
        <f t="shared" si="1"/>
        <v>1</v>
      </c>
    </row>
    <row r="24" spans="1:12" x14ac:dyDescent="0.2">
      <c r="A24" s="5" t="s">
        <v>97</v>
      </c>
      <c r="B24" s="5" t="s">
        <v>98</v>
      </c>
      <c r="C24" s="5" t="s">
        <v>65</v>
      </c>
      <c r="D24" s="23">
        <f>_xlfn.XLOOKUP($B24,'Inputs - Part 1'!$B$17:$B$66,'Inputs - Part 1'!$C$17:$C$66,FALSE)</f>
        <v>73571.074163261714</v>
      </c>
      <c r="E24" s="13">
        <f t="shared" si="2"/>
        <v>401755690.54426664</v>
      </c>
      <c r="F24" s="23">
        <f>_xlfn.XLOOKUP($B24, 'Inputs - Part 1'!$B$281:$B$333,'Inputs - Part 1'!$C$281:$C$333,FALSE)</f>
        <v>401755690.54426664</v>
      </c>
      <c r="G24" s="67">
        <f t="shared" si="5"/>
        <v>1</v>
      </c>
      <c r="H24" s="13">
        <f t="shared" si="3"/>
        <v>73571.074163261714</v>
      </c>
      <c r="I24" s="66">
        <f t="shared" si="0"/>
        <v>54.532348720038577</v>
      </c>
      <c r="J24" s="25">
        <f t="shared" si="4"/>
        <v>4012003.4719788083</v>
      </c>
      <c r="L24" s="25" t="b">
        <f t="shared" si="1"/>
        <v>1</v>
      </c>
    </row>
    <row r="25" spans="1:12" x14ac:dyDescent="0.2">
      <c r="A25" s="5" t="s">
        <v>99</v>
      </c>
      <c r="B25" s="5" t="s">
        <v>100</v>
      </c>
      <c r="C25" s="5" t="s">
        <v>41</v>
      </c>
      <c r="D25" s="23">
        <f>_xlfn.XLOOKUP($B25,'Inputs - Part 1'!$B$17:$B$66,'Inputs - Part 1'!$C$17:$C$66,FALSE)</f>
        <v>947.45817850165793</v>
      </c>
      <c r="E25" s="13">
        <f t="shared" si="2"/>
        <v>553758.5</v>
      </c>
      <c r="F25" s="23">
        <f>_xlfn.XLOOKUP($B25, 'Inputs - Part 1'!$B$281:$B$333,'Inputs - Part 1'!$C$281:$C$333,FALSE)</f>
        <v>553758.5</v>
      </c>
      <c r="G25" s="67">
        <f t="shared" si="5"/>
        <v>1</v>
      </c>
      <c r="H25" s="13">
        <f t="shared" si="3"/>
        <v>947.45817850165793</v>
      </c>
      <c r="I25" s="66">
        <f t="shared" si="0"/>
        <v>54.532348720038577</v>
      </c>
      <c r="J25" s="25">
        <f t="shared" si="4"/>
        <v>51667.119787704971</v>
      </c>
      <c r="L25" s="25" t="b">
        <f t="shared" si="1"/>
        <v>1</v>
      </c>
    </row>
    <row r="26" spans="1:12" x14ac:dyDescent="0.2">
      <c r="A26" s="5" t="s">
        <v>101</v>
      </c>
      <c r="B26" s="5" t="s">
        <v>102</v>
      </c>
      <c r="C26" s="5" t="s">
        <v>41</v>
      </c>
      <c r="D26" s="23">
        <f>_xlfn.XLOOKUP($B26,'Inputs - Part 1'!$B$17:$B$66,'Inputs - Part 1'!$C$17:$C$66,FALSE)</f>
        <v>1172.1685689522503</v>
      </c>
      <c r="E26" s="13">
        <f t="shared" si="2"/>
        <v>687321.75</v>
      </c>
      <c r="F26" s="23">
        <f>_xlfn.XLOOKUP($B26, 'Inputs - Part 1'!$B$281:$B$333,'Inputs - Part 1'!$C$281:$C$333,FALSE)</f>
        <v>687321.75</v>
      </c>
      <c r="G26" s="67">
        <f t="shared" si="5"/>
        <v>1</v>
      </c>
      <c r="H26" s="13">
        <f t="shared" si="3"/>
        <v>1172.1685689522503</v>
      </c>
      <c r="I26" s="66">
        <f t="shared" si="0"/>
        <v>54.532348720038577</v>
      </c>
      <c r="J26" s="25">
        <f t="shared" si="4"/>
        <v>63921.105160772699</v>
      </c>
      <c r="L26" s="25" t="b">
        <f t="shared" si="1"/>
        <v>1</v>
      </c>
    </row>
    <row r="27" spans="1:12" x14ac:dyDescent="0.2">
      <c r="A27" s="5" t="s">
        <v>103</v>
      </c>
      <c r="B27" s="5" t="s">
        <v>104</v>
      </c>
      <c r="C27" s="5" t="s">
        <v>41</v>
      </c>
      <c r="D27" s="23">
        <f>_xlfn.XLOOKUP($B27,'Inputs - Part 1'!$B$17:$B$66,'Inputs - Part 1'!$C$17:$C$66,FALSE)</f>
        <v>32624.263617048135</v>
      </c>
      <c r="E27" s="13">
        <f t="shared" si="2"/>
        <v>75031190.410000101</v>
      </c>
      <c r="F27" s="23">
        <f>_xlfn.XLOOKUP($B27, 'Inputs - Part 1'!$B$281:$B$333,'Inputs - Part 1'!$C$281:$C$333,FALSE)</f>
        <v>75031190.410000101</v>
      </c>
      <c r="G27" s="67">
        <f t="shared" si="5"/>
        <v>1</v>
      </c>
      <c r="H27" s="13">
        <f t="shared" si="3"/>
        <v>32624.263617048135</v>
      </c>
      <c r="I27" s="66">
        <f t="shared" si="0"/>
        <v>54.532348720038577</v>
      </c>
      <c r="J27" s="25">
        <f t="shared" si="4"/>
        <v>1779077.7202993359</v>
      </c>
      <c r="L27" s="25" t="b">
        <f t="shared" si="1"/>
        <v>1</v>
      </c>
    </row>
    <row r="28" spans="1:12" x14ac:dyDescent="0.2">
      <c r="A28" s="5" t="s">
        <v>105</v>
      </c>
      <c r="B28" s="5" t="s">
        <v>106</v>
      </c>
      <c r="C28" s="5" t="s">
        <v>41</v>
      </c>
      <c r="D28" s="23">
        <f>_xlfn.XLOOKUP($B28,'Inputs - Part 1'!$B$17:$B$66,'Inputs - Part 1'!$C$17:$C$66,FALSE)</f>
        <v>0</v>
      </c>
      <c r="E28" s="13">
        <f t="shared" si="2"/>
        <v>0</v>
      </c>
      <c r="F28" s="23">
        <f>_xlfn.XLOOKUP($B28, 'Inputs - Part 1'!$B$281:$B$333,'Inputs - Part 1'!$C$281:$C$333,FALSE)</f>
        <v>0</v>
      </c>
      <c r="G28" s="67" t="str">
        <f t="shared" si="5"/>
        <v/>
      </c>
      <c r="H28" s="13" t="str">
        <f t="shared" si="3"/>
        <v/>
      </c>
      <c r="I28" s="66">
        <f t="shared" si="0"/>
        <v>54.532348720038577</v>
      </c>
      <c r="J28" s="25" t="str">
        <f t="shared" si="4"/>
        <v/>
      </c>
      <c r="L28" s="25" t="b">
        <f t="shared" si="1"/>
        <v>1</v>
      </c>
    </row>
    <row r="29" spans="1:12" x14ac:dyDescent="0.2">
      <c r="A29" s="5" t="s">
        <v>107</v>
      </c>
      <c r="B29" s="5" t="s">
        <v>108</v>
      </c>
      <c r="C29" s="5" t="s">
        <v>41</v>
      </c>
      <c r="D29" s="23">
        <f>_xlfn.XLOOKUP($B29,'Inputs - Part 1'!$B$17:$B$66,'Inputs - Part 1'!$C$17:$C$66,FALSE)</f>
        <v>25919.91804381608</v>
      </c>
      <c r="E29" s="13">
        <f t="shared" si="2"/>
        <v>9132302.0716800466</v>
      </c>
      <c r="F29" s="23">
        <f>_xlfn.XLOOKUP($B29, 'Inputs - Part 1'!$B$281:$B$333,'Inputs - Part 1'!$C$281:$C$333,FALSE)</f>
        <v>9132302.0716800466</v>
      </c>
      <c r="G29" s="67">
        <f t="shared" si="5"/>
        <v>1</v>
      </c>
      <c r="H29" s="13">
        <f t="shared" si="3"/>
        <v>25919.91804381608</v>
      </c>
      <c r="I29" s="66">
        <f t="shared" si="0"/>
        <v>54.532348720038577</v>
      </c>
      <c r="J29" s="25">
        <f t="shared" si="4"/>
        <v>1413474.0095601985</v>
      </c>
      <c r="L29" s="25" t="b">
        <f t="shared" si="1"/>
        <v>1</v>
      </c>
    </row>
    <row r="30" spans="1:12" x14ac:dyDescent="0.2">
      <c r="A30" s="5" t="s">
        <v>109</v>
      </c>
      <c r="B30" s="5" t="s">
        <v>110</v>
      </c>
      <c r="C30" s="5" t="s">
        <v>70</v>
      </c>
      <c r="D30" s="23">
        <f>_xlfn.XLOOKUP($B30,'Inputs - Part 1'!$B$17:$B$66,'Inputs - Part 1'!$C$17:$C$66,FALSE)</f>
        <v>9097.3828759627377</v>
      </c>
      <c r="E30" s="13">
        <f t="shared" si="2"/>
        <v>49952259.571524277</v>
      </c>
      <c r="F30" s="23">
        <f>_xlfn.XLOOKUP($B30, 'Inputs - Part 1'!$B$281:$B$333,'Inputs - Part 1'!$C$281:$C$333,FALSE)</f>
        <v>49952259.571524277</v>
      </c>
      <c r="G30" s="67">
        <f t="shared" si="5"/>
        <v>1</v>
      </c>
      <c r="H30" s="13">
        <f t="shared" si="3"/>
        <v>9097.3828759627377</v>
      </c>
      <c r="I30" s="66">
        <f t="shared" si="0"/>
        <v>54.532348720038577</v>
      </c>
      <c r="J30" s="25">
        <f t="shared" si="4"/>
        <v>496101.65543170745</v>
      </c>
      <c r="L30" s="25" t="b">
        <f t="shared" si="1"/>
        <v>1</v>
      </c>
    </row>
    <row r="31" spans="1:12" x14ac:dyDescent="0.2">
      <c r="A31" s="5" t="s">
        <v>111</v>
      </c>
      <c r="B31" s="5" t="s">
        <v>112</v>
      </c>
      <c r="C31" s="5" t="s">
        <v>65</v>
      </c>
      <c r="D31" s="23">
        <f>_xlfn.XLOOKUP($B31,'Inputs - Part 1'!$B$17:$B$66,'Inputs - Part 1'!$C$17:$C$66,FALSE)</f>
        <v>13985.082556978485</v>
      </c>
      <c r="E31" s="13">
        <f t="shared" si="2"/>
        <v>52070375.561945967</v>
      </c>
      <c r="F31" s="23">
        <f>_xlfn.XLOOKUP($B31, 'Inputs - Part 1'!$B$281:$B$333,'Inputs - Part 1'!$C$281:$C$333,FALSE)</f>
        <v>52070375.561945967</v>
      </c>
      <c r="G31" s="67">
        <f t="shared" si="5"/>
        <v>1</v>
      </c>
      <c r="H31" s="13">
        <f t="shared" si="3"/>
        <v>13985.082556978485</v>
      </c>
      <c r="I31" s="66">
        <f t="shared" si="0"/>
        <v>54.532348720038577</v>
      </c>
      <c r="J31" s="25">
        <f t="shared" si="4"/>
        <v>762639.39887567947</v>
      </c>
      <c r="L31" s="25" t="b">
        <f t="shared" si="1"/>
        <v>1</v>
      </c>
    </row>
    <row r="32" spans="1:12" x14ac:dyDescent="0.2">
      <c r="A32" s="5" t="s">
        <v>113</v>
      </c>
      <c r="B32" s="5" t="s">
        <v>114</v>
      </c>
      <c r="C32" s="5" t="s">
        <v>65</v>
      </c>
      <c r="D32" s="23">
        <f>_xlfn.XLOOKUP($B32,'Inputs - Part 1'!$B$17:$B$66,'Inputs - Part 1'!$C$17:$C$66,FALSE)</f>
        <v>146735.12206666113</v>
      </c>
      <c r="E32" s="13">
        <f>F32</f>
        <v>750881543.53701854</v>
      </c>
      <c r="F32" s="23">
        <f>_xlfn.XLOOKUP($B32, 'Inputs - Part 1'!$B$281:$B$333,'Inputs - Part 1'!$C$281:$C$333,FALSE)</f>
        <v>750881543.53701854</v>
      </c>
      <c r="G32" s="67">
        <f t="shared" si="5"/>
        <v>1</v>
      </c>
      <c r="H32" s="13">
        <f t="shared" si="3"/>
        <v>146735.12206666113</v>
      </c>
      <c r="I32" s="66">
        <f t="shared" si="0"/>
        <v>54.532348720038577</v>
      </c>
      <c r="J32" s="25">
        <f t="shared" si="4"/>
        <v>8001810.8460165923</v>
      </c>
      <c r="L32" s="25" t="b">
        <f t="shared" si="1"/>
        <v>1</v>
      </c>
    </row>
    <row r="33" spans="1:12" x14ac:dyDescent="0.2">
      <c r="A33" s="5" t="s">
        <v>115</v>
      </c>
      <c r="B33" s="5" t="s">
        <v>116</v>
      </c>
      <c r="C33" s="5" t="s">
        <v>65</v>
      </c>
      <c r="D33" s="23">
        <f>_xlfn.XLOOKUP($B33,'Inputs - Part 1'!$B$17:$B$66,'Inputs - Part 1'!$C$17:$C$66,FALSE)</f>
        <v>63713.974785909304</v>
      </c>
      <c r="E33" s="13">
        <f t="shared" si="2"/>
        <v>262476171.51507396</v>
      </c>
      <c r="F33" s="23">
        <f>_xlfn.XLOOKUP($B33, 'Inputs - Part 1'!$B$281:$B$333,'Inputs - Part 1'!$C$281:$C$333,FALSE)</f>
        <v>262476171.51507396</v>
      </c>
      <c r="G33" s="67">
        <f t="shared" si="5"/>
        <v>1</v>
      </c>
      <c r="H33" s="13">
        <f t="shared" si="3"/>
        <v>63713.974785909304</v>
      </c>
      <c r="I33" s="66">
        <f t="shared" si="0"/>
        <v>54.532348720038577</v>
      </c>
      <c r="J33" s="25">
        <f t="shared" si="4"/>
        <v>3474472.6913649514</v>
      </c>
      <c r="L33" s="25" t="b">
        <f t="shared" si="1"/>
        <v>1</v>
      </c>
    </row>
    <row r="34" spans="1:12" x14ac:dyDescent="0.2">
      <c r="A34" s="5" t="s">
        <v>117</v>
      </c>
      <c r="B34" s="5" t="s">
        <v>118</v>
      </c>
      <c r="C34" s="5" t="s">
        <v>70</v>
      </c>
      <c r="D34" s="23">
        <f>_xlfn.XLOOKUP($B34,'Inputs - Part 1'!$B$17:$B$66,'Inputs - Part 1'!$C$17:$C$66,FALSE)</f>
        <v>158650.53629707327</v>
      </c>
      <c r="E34" s="13">
        <f t="shared" si="2"/>
        <v>1082038483.1904964</v>
      </c>
      <c r="F34" s="23">
        <f>_xlfn.XLOOKUP($B34, 'Inputs - Part 1'!$B$281:$B$333,'Inputs - Part 1'!$C$281:$C$333,FALSE)</f>
        <v>1082038483.1904964</v>
      </c>
      <c r="G34" s="67">
        <f t="shared" si="5"/>
        <v>1</v>
      </c>
      <c r="H34" s="13">
        <f t="shared" si="3"/>
        <v>158650.53629707327</v>
      </c>
      <c r="I34" s="66">
        <f t="shared" si="0"/>
        <v>54.532348720038577</v>
      </c>
      <c r="J34" s="25">
        <f t="shared" si="4"/>
        <v>8651586.369973138</v>
      </c>
      <c r="L34" s="25" t="b">
        <f t="shared" si="1"/>
        <v>1</v>
      </c>
    </row>
    <row r="35" spans="1:12" x14ac:dyDescent="0.2">
      <c r="A35" s="5" t="s">
        <v>119</v>
      </c>
      <c r="B35" s="5" t="s">
        <v>120</v>
      </c>
      <c r="C35" s="5" t="s">
        <v>41</v>
      </c>
      <c r="D35" s="23">
        <f>_xlfn.XLOOKUP($B35,'Inputs - Part 1'!$B$17:$B$66,'Inputs - Part 1'!$C$17:$C$66,FALSE)</f>
        <v>5269.1982148891302</v>
      </c>
      <c r="E35" s="13">
        <f t="shared" si="2"/>
        <v>106052.5</v>
      </c>
      <c r="F35" s="23">
        <f>_xlfn.XLOOKUP($B35, 'Inputs - Part 1'!$B$281:$B$333,'Inputs - Part 1'!$C$281:$C$333,FALSE)</f>
        <v>106052.5</v>
      </c>
      <c r="G35" s="67">
        <f t="shared" si="5"/>
        <v>1</v>
      </c>
      <c r="H35" s="13">
        <f t="shared" si="3"/>
        <v>5269.1982148891302</v>
      </c>
      <c r="I35" s="66">
        <f t="shared" si="0"/>
        <v>54.532348720038577</v>
      </c>
      <c r="J35" s="25">
        <f t="shared" si="4"/>
        <v>287341.7545293388</v>
      </c>
      <c r="L35" s="25" t="b">
        <f t="shared" si="1"/>
        <v>1</v>
      </c>
    </row>
    <row r="36" spans="1:12" x14ac:dyDescent="0.2">
      <c r="A36" s="5" t="s">
        <v>121</v>
      </c>
      <c r="B36" s="5" t="s">
        <v>122</v>
      </c>
      <c r="C36" s="5" t="s">
        <v>41</v>
      </c>
      <c r="D36" s="23">
        <f>_xlfn.XLOOKUP($B36,'Inputs - Part 1'!$B$17:$B$66,'Inputs - Part 1'!$C$17:$C$66,FALSE)</f>
        <v>1604.1009888491478</v>
      </c>
      <c r="E36" s="13">
        <f t="shared" si="2"/>
        <v>6311.5</v>
      </c>
      <c r="F36" s="23">
        <f>_xlfn.XLOOKUP($B36, 'Inputs - Part 1'!$B$281:$B$333,'Inputs - Part 1'!$C$281:$C$333,FALSE)</f>
        <v>6311.5</v>
      </c>
      <c r="G36" s="67">
        <f t="shared" si="5"/>
        <v>1</v>
      </c>
      <c r="H36" s="13">
        <f t="shared" si="3"/>
        <v>1604.1009888491478</v>
      </c>
      <c r="I36" s="66">
        <f t="shared" si="0"/>
        <v>54.532348720038577</v>
      </c>
      <c r="J36" s="25">
        <f t="shared" si="4"/>
        <v>87475.39450608044</v>
      </c>
      <c r="L36" s="25" t="b">
        <f t="shared" si="1"/>
        <v>1</v>
      </c>
    </row>
    <row r="37" spans="1:12" x14ac:dyDescent="0.2">
      <c r="A37" s="5" t="s">
        <v>123</v>
      </c>
      <c r="B37" s="5" t="s">
        <v>124</v>
      </c>
      <c r="C37" s="5" t="s">
        <v>65</v>
      </c>
      <c r="D37" s="48">
        <f>_xlfn.XLOOKUP($B37,'Inputs - Part 1'!$B$17:$B$66,'Inputs - Part 1'!$C$17:$C$66,FALSE)</f>
        <v>181183.41683885281</v>
      </c>
      <c r="E37" s="13">
        <f t="shared" si="2"/>
        <v>1105249290.3755393</v>
      </c>
      <c r="F37" s="23">
        <f>_xlfn.XLOOKUP($B37, 'Inputs - Part 1'!$B$281:$B$333,'Inputs - Part 1'!$C$281:$C$333,FALSE)</f>
        <v>1105249290.3755393</v>
      </c>
      <c r="G37" s="67">
        <f t="shared" si="5"/>
        <v>1</v>
      </c>
      <c r="H37" s="13">
        <f t="shared" si="3"/>
        <v>181183.41683885281</v>
      </c>
      <c r="I37" s="66">
        <f t="shared" si="0"/>
        <v>54.532348720038577</v>
      </c>
      <c r="J37" s="25">
        <f t="shared" si="4"/>
        <v>9880357.2693444304</v>
      </c>
      <c r="L37" s="25" t="b">
        <f t="shared" si="1"/>
        <v>1</v>
      </c>
    </row>
    <row r="38" spans="1:12" x14ac:dyDescent="0.2">
      <c r="A38" s="5" t="s">
        <v>125</v>
      </c>
      <c r="B38" s="5" t="s">
        <v>126</v>
      </c>
      <c r="C38" s="5" t="s">
        <v>41</v>
      </c>
      <c r="D38" s="23">
        <f>_xlfn.XLOOKUP($B38,'Inputs - Part 1'!$B$17:$B$66,'Inputs - Part 1'!$C$17:$C$66,FALSE)</f>
        <v>8136.5594275996527</v>
      </c>
      <c r="E38" s="13">
        <f t="shared" si="2"/>
        <v>48088472.146270871</v>
      </c>
      <c r="F38" s="23">
        <f>_xlfn.XLOOKUP($B38, 'Inputs - Part 1'!$B$281:$B$333,'Inputs - Part 1'!$C$281:$C$333,FALSE)</f>
        <v>48088472.146270871</v>
      </c>
      <c r="G38" s="67">
        <f t="shared" si="5"/>
        <v>1</v>
      </c>
      <c r="H38" s="13">
        <f t="shared" si="3"/>
        <v>8136.5594275996527</v>
      </c>
      <c r="I38" s="66">
        <f t="shared" ref="I38:I57" si="6">$I$4</f>
        <v>54.532348720038577</v>
      </c>
      <c r="J38" s="25">
        <f t="shared" si="4"/>
        <v>443705.69608718174</v>
      </c>
      <c r="L38" s="25" t="b">
        <f t="shared" si="1"/>
        <v>1</v>
      </c>
    </row>
    <row r="39" spans="1:12" x14ac:dyDescent="0.2">
      <c r="A39" s="5" t="s">
        <v>127</v>
      </c>
      <c r="B39" s="5" t="s">
        <v>128</v>
      </c>
      <c r="C39" s="5" t="s">
        <v>70</v>
      </c>
      <c r="D39" s="23">
        <f>_xlfn.XLOOKUP($B39,'Inputs - Part 1'!$B$17:$B$66,'Inputs - Part 1'!$C$17:$C$66,FALSE)</f>
        <v>590088.20641807234</v>
      </c>
      <c r="E39" s="13">
        <f t="shared" si="2"/>
        <v>5064546057.4357309</v>
      </c>
      <c r="F39" s="23">
        <f>_xlfn.XLOOKUP($B39, 'Inputs - Part 1'!$B$281:$B$333,'Inputs - Part 1'!$C$281:$C$333,FALSE)</f>
        <v>5064546057.4357309</v>
      </c>
      <c r="G39" s="67">
        <f t="shared" si="5"/>
        <v>1</v>
      </c>
      <c r="H39" s="13">
        <f t="shared" si="3"/>
        <v>590088.20641807234</v>
      </c>
      <c r="I39" s="66">
        <f t="shared" si="6"/>
        <v>54.532348720038577</v>
      </c>
      <c r="J39" s="25">
        <f t="shared" si="4"/>
        <v>32178895.847972427</v>
      </c>
      <c r="L39" s="25" t="b">
        <f t="shared" si="1"/>
        <v>1</v>
      </c>
    </row>
    <row r="40" spans="1:12" x14ac:dyDescent="0.2">
      <c r="A40" s="5" t="s">
        <v>129</v>
      </c>
      <c r="B40" s="5" t="s">
        <v>130</v>
      </c>
      <c r="C40" s="5" t="s">
        <v>70</v>
      </c>
      <c r="D40" s="23"/>
      <c r="E40" s="13"/>
      <c r="F40" s="23"/>
      <c r="G40" s="67"/>
      <c r="H40" s="13"/>
      <c r="I40" s="66"/>
      <c r="J40" s="25"/>
      <c r="L40" s="25" t="b">
        <f t="shared" ref="L40:L57" si="7">J40=G105</f>
        <v>1</v>
      </c>
    </row>
    <row r="41" spans="1:12" x14ac:dyDescent="0.2">
      <c r="A41" s="5" t="s">
        <v>131</v>
      </c>
      <c r="B41" s="5" t="s">
        <v>132</v>
      </c>
      <c r="C41" s="5" t="s">
        <v>65</v>
      </c>
      <c r="D41" s="23">
        <f>_xlfn.XLOOKUP($B41,'Inputs - Part 1'!$B$17:$B$66,'Inputs - Part 1'!$C$17:$C$66,FALSE)</f>
        <v>753103.09838564193</v>
      </c>
      <c r="E41" s="13">
        <f t="shared" si="2"/>
        <v>3297306964.1578093</v>
      </c>
      <c r="F41" s="23">
        <f>_xlfn.XLOOKUP($B41, 'Inputs - Part 1'!$B$281:$B$333,'Inputs - Part 1'!$C$281:$C$333,FALSE)</f>
        <v>3297306964.1578093</v>
      </c>
      <c r="G41" s="67">
        <f t="shared" si="5"/>
        <v>1</v>
      </c>
      <c r="H41" s="13">
        <f t="shared" si="3"/>
        <v>753103.09838564193</v>
      </c>
      <c r="I41" s="66">
        <f t="shared" si="6"/>
        <v>54.532348720038577</v>
      </c>
      <c r="J41" s="25">
        <f t="shared" si="4"/>
        <v>41068480.783307344</v>
      </c>
      <c r="L41" s="25" t="b">
        <f t="shared" si="7"/>
        <v>1</v>
      </c>
    </row>
    <row r="42" spans="1:12" x14ac:dyDescent="0.2">
      <c r="A42" s="5" t="s">
        <v>133</v>
      </c>
      <c r="B42" s="5" t="s">
        <v>134</v>
      </c>
      <c r="C42" s="5" t="s">
        <v>70</v>
      </c>
      <c r="D42" s="23">
        <f>_xlfn.XLOOKUP($B42,'Inputs - Part 1'!$B$17:$B$66,'Inputs - Part 1'!$C$17:$C$66,FALSE)</f>
        <v>77722.941824362075</v>
      </c>
      <c r="E42" s="13">
        <f t="shared" si="2"/>
        <v>513137202.17796659</v>
      </c>
      <c r="F42" s="23">
        <f>_xlfn.XLOOKUP($B42, 'Inputs - Part 1'!$B$281:$B$333,'Inputs - Part 1'!$C$281:$C$333,FALSE)</f>
        <v>513137202.17796659</v>
      </c>
      <c r="G42" s="67">
        <f t="shared" si="5"/>
        <v>1</v>
      </c>
      <c r="H42" s="13">
        <f t="shared" si="3"/>
        <v>77722.941824362075</v>
      </c>
      <c r="I42" s="66">
        <f t="shared" si="6"/>
        <v>54.532348720038577</v>
      </c>
      <c r="J42" s="25">
        <f t="shared" si="4"/>
        <v>4238414.5671133837</v>
      </c>
      <c r="L42" s="25" t="b">
        <f t="shared" si="7"/>
        <v>1</v>
      </c>
    </row>
    <row r="43" spans="1:12" x14ac:dyDescent="0.2">
      <c r="A43" s="5" t="s">
        <v>135</v>
      </c>
      <c r="B43" s="5" t="s">
        <v>136</v>
      </c>
      <c r="C43" s="5" t="s">
        <v>65</v>
      </c>
      <c r="D43" s="23">
        <f>_xlfn.XLOOKUP($B43,'Inputs - Part 1'!$B$17:$B$66,'Inputs - Part 1'!$C$17:$C$66,FALSE)</f>
        <v>1039696.5156458596</v>
      </c>
      <c r="E43" s="13">
        <f t="shared" si="2"/>
        <v>5104311661.5706635</v>
      </c>
      <c r="F43" s="23">
        <f>_xlfn.XLOOKUP($B43, 'Inputs - Part 1'!$B$281:$B$333,'Inputs - Part 1'!$C$281:$C$333,FALSE)</f>
        <v>5104311661.5706635</v>
      </c>
      <c r="G43" s="67">
        <f t="shared" si="5"/>
        <v>1</v>
      </c>
      <c r="H43" s="13">
        <f t="shared" si="3"/>
        <v>1039696.5156458596</v>
      </c>
      <c r="I43" s="66">
        <f t="shared" si="6"/>
        <v>54.532348720038577</v>
      </c>
      <c r="J43" s="25">
        <f t="shared" si="4"/>
        <v>56697092.954209059</v>
      </c>
      <c r="L43" s="25" t="b">
        <f t="shared" si="7"/>
        <v>1</v>
      </c>
    </row>
    <row r="44" spans="1:12" x14ac:dyDescent="0.2">
      <c r="A44" s="5" t="s">
        <v>137</v>
      </c>
      <c r="B44" s="5" t="s">
        <v>138</v>
      </c>
      <c r="C44" s="5" t="s">
        <v>65</v>
      </c>
      <c r="D44" s="23">
        <f>_xlfn.XLOOKUP($B44,'Inputs - Part 1'!$B$17:$B$66,'Inputs - Part 1'!$C$17:$C$66,FALSE)</f>
        <v>281388.86864575557</v>
      </c>
      <c r="E44" s="13">
        <f t="shared" si="2"/>
        <v>1487246910.1275415</v>
      </c>
      <c r="F44" s="23">
        <f>_xlfn.XLOOKUP($B44, 'Inputs - Part 1'!$B$281:$B$333,'Inputs - Part 1'!$C$281:$C$333,FALSE)</f>
        <v>1487246910.1275415</v>
      </c>
      <c r="G44" s="67">
        <f t="shared" si="5"/>
        <v>1</v>
      </c>
      <c r="H44" s="13">
        <f t="shared" si="3"/>
        <v>281388.86864575557</v>
      </c>
      <c r="I44" s="66">
        <f t="shared" si="6"/>
        <v>54.532348720038577</v>
      </c>
      <c r="J44" s="25">
        <f t="shared" si="4"/>
        <v>15344795.910927473</v>
      </c>
      <c r="L44" s="25" t="b">
        <f t="shared" si="7"/>
        <v>1</v>
      </c>
    </row>
    <row r="45" spans="1:12" x14ac:dyDescent="0.2">
      <c r="A45" s="5" t="s">
        <v>139</v>
      </c>
      <c r="B45" s="5" t="s">
        <v>140</v>
      </c>
      <c r="C45" s="5" t="s">
        <v>65</v>
      </c>
      <c r="D45" s="23">
        <f>_xlfn.XLOOKUP($B45,'Inputs - Part 1'!$B$17:$B$66,'Inputs - Part 1'!$C$17:$C$66,FALSE)</f>
        <v>15135.880246118526</v>
      </c>
      <c r="E45" s="13">
        <f t="shared" si="2"/>
        <v>82572117.083435386</v>
      </c>
      <c r="F45" s="23">
        <f>_xlfn.XLOOKUP($B45, 'Inputs - Part 1'!$B$281:$B$333,'Inputs - Part 1'!$C$281:$C$333,FALSE)</f>
        <v>82572117.083435386</v>
      </c>
      <c r="G45" s="67">
        <f t="shared" si="5"/>
        <v>1</v>
      </c>
      <c r="H45" s="13">
        <f t="shared" si="3"/>
        <v>15135.880246118526</v>
      </c>
      <c r="I45" s="66">
        <f t="shared" si="6"/>
        <v>54.532348720038577</v>
      </c>
      <c r="J45" s="25">
        <f t="shared" si="4"/>
        <v>825395.09976607875</v>
      </c>
      <c r="L45" s="25" t="b">
        <f t="shared" si="7"/>
        <v>1</v>
      </c>
    </row>
    <row r="46" spans="1:12" x14ac:dyDescent="0.2">
      <c r="A46" s="5" t="s">
        <v>141</v>
      </c>
      <c r="B46" s="5" t="s">
        <v>142</v>
      </c>
      <c r="C46" s="5" t="s">
        <v>70</v>
      </c>
      <c r="D46" s="23">
        <f>_xlfn.XLOOKUP($B46,'Inputs - Part 1'!$B$17:$B$66,'Inputs - Part 1'!$C$17:$C$66,FALSE)</f>
        <v>171.3906571810225</v>
      </c>
      <c r="E46" s="13">
        <f t="shared" si="2"/>
        <v>461368.45735014166</v>
      </c>
      <c r="F46" s="23">
        <f>_xlfn.XLOOKUP($B46, 'Inputs - Part 1'!$B$281:$B$333,'Inputs - Part 1'!$C$281:$C$333,FALSE)</f>
        <v>461368.45735014166</v>
      </c>
      <c r="G46" s="67">
        <f t="shared" si="5"/>
        <v>1</v>
      </c>
      <c r="H46" s="13">
        <f t="shared" si="3"/>
        <v>171.3906571810225</v>
      </c>
      <c r="I46" s="66">
        <f t="shared" si="6"/>
        <v>54.532348720038577</v>
      </c>
      <c r="J46" s="25">
        <f t="shared" si="4"/>
        <v>9346.3350847521033</v>
      </c>
      <c r="L46" s="25" t="b">
        <f t="shared" si="7"/>
        <v>1</v>
      </c>
    </row>
    <row r="47" spans="1:12" x14ac:dyDescent="0.2">
      <c r="A47" s="5" t="s">
        <v>143</v>
      </c>
      <c r="B47" s="5" t="s">
        <v>144</v>
      </c>
      <c r="C47" s="5" t="s">
        <v>41</v>
      </c>
      <c r="D47" s="23">
        <f>_xlfn.XLOOKUP($B47,'Inputs - Part 1'!$B$17:$B$66,'Inputs - Part 1'!$C$17:$C$66,FALSE)</f>
        <v>1106.7177013531639</v>
      </c>
      <c r="E47" s="13">
        <f t="shared" si="2"/>
        <v>569775.37250000087</v>
      </c>
      <c r="F47" s="23">
        <f>_xlfn.XLOOKUP($B47, 'Inputs - Part 1'!$B$281:$B$333,'Inputs - Part 1'!$C$281:$C$333,FALSE)</f>
        <v>569775.37250000087</v>
      </c>
      <c r="G47" s="67">
        <f t="shared" si="5"/>
        <v>1</v>
      </c>
      <c r="H47" s="13">
        <f t="shared" si="3"/>
        <v>1106.7177013531639</v>
      </c>
      <c r="I47" s="66">
        <f t="shared" si="6"/>
        <v>54.532348720038577</v>
      </c>
      <c r="J47" s="25">
        <f t="shared" si="4"/>
        <v>60351.915624830239</v>
      </c>
      <c r="L47" s="25" t="b">
        <f t="shared" si="7"/>
        <v>1</v>
      </c>
    </row>
    <row r="48" spans="1:12" x14ac:dyDescent="0.2">
      <c r="A48" s="5" t="s">
        <v>145</v>
      </c>
      <c r="B48" s="5" t="s">
        <v>146</v>
      </c>
      <c r="C48" s="5" t="s">
        <v>65</v>
      </c>
      <c r="D48" s="23">
        <f>_xlfn.XLOOKUP($B48,'Inputs - Part 1'!$B$17:$B$66,'Inputs - Part 1'!$C$17:$C$66,FALSE)</f>
        <v>77391.12728247937</v>
      </c>
      <c r="E48" s="13">
        <f t="shared" si="2"/>
        <v>327526220.07543993</v>
      </c>
      <c r="F48" s="23">
        <f>_xlfn.XLOOKUP($B48, 'Inputs - Part 1'!$B$281:$B$333,'Inputs - Part 1'!$C$281:$C$333,FALSE)</f>
        <v>327526220.07543993</v>
      </c>
      <c r="G48" s="67">
        <f t="shared" si="5"/>
        <v>1</v>
      </c>
      <c r="H48" s="13">
        <f t="shared" si="3"/>
        <v>77391.12728247937</v>
      </c>
      <c r="I48" s="66">
        <f t="shared" si="6"/>
        <v>54.532348720038577</v>
      </c>
      <c r="J48" s="25">
        <f t="shared" si="4"/>
        <v>4220319.9408050561</v>
      </c>
      <c r="L48" s="25" t="b">
        <f t="shared" si="7"/>
        <v>1</v>
      </c>
    </row>
    <row r="49" spans="1:12" x14ac:dyDescent="0.2">
      <c r="A49" s="5" t="s">
        <v>147</v>
      </c>
      <c r="B49" s="5" t="s">
        <v>148</v>
      </c>
      <c r="C49" s="5" t="s">
        <v>65</v>
      </c>
      <c r="D49" s="23">
        <f>_xlfn.XLOOKUP($B49,'Inputs - Part 1'!$B$17:$B$66,'Inputs - Part 1'!$C$17:$C$66,FALSE)</f>
        <v>69781.30983537891</v>
      </c>
      <c r="E49" s="13">
        <f t="shared" si="2"/>
        <v>358900599.67369318</v>
      </c>
      <c r="F49" s="23">
        <f>_xlfn.XLOOKUP($B49, 'Inputs - Part 1'!$B$281:$B$333,'Inputs - Part 1'!$C$281:$C$333,FALSE)</f>
        <v>358900599.67369318</v>
      </c>
      <c r="G49" s="67">
        <f t="shared" si="5"/>
        <v>1</v>
      </c>
      <c r="H49" s="13">
        <f t="shared" si="3"/>
        <v>69781.30983537891</v>
      </c>
      <c r="I49" s="66">
        <f t="shared" si="6"/>
        <v>54.532348720038577</v>
      </c>
      <c r="J49" s="25">
        <f t="shared" si="4"/>
        <v>3805338.7220839406</v>
      </c>
      <c r="L49" s="25" t="b">
        <f t="shared" si="7"/>
        <v>1</v>
      </c>
    </row>
    <row r="50" spans="1:12" x14ac:dyDescent="0.2">
      <c r="A50" s="5" t="s">
        <v>149</v>
      </c>
      <c r="B50" s="5" t="s">
        <v>150</v>
      </c>
      <c r="C50" s="5" t="s">
        <v>65</v>
      </c>
      <c r="D50" s="23">
        <f>_xlfn.XLOOKUP($B50,'Inputs - Part 1'!$B$17:$B$66,'Inputs - Part 1'!$C$17:$C$66,FALSE)</f>
        <v>363353.34220980719</v>
      </c>
      <c r="E50" s="13">
        <f t="shared" si="2"/>
        <v>1683135014.1326694</v>
      </c>
      <c r="F50" s="23">
        <f>_xlfn.XLOOKUP($B50, 'Inputs - Part 1'!$B$281:$B$333,'Inputs - Part 1'!$C$281:$C$333,FALSE)</f>
        <v>1683135014.1326694</v>
      </c>
      <c r="G50" s="67">
        <f t="shared" si="5"/>
        <v>1</v>
      </c>
      <c r="H50" s="13">
        <f t="shared" si="3"/>
        <v>363353.34220980719</v>
      </c>
      <c r="I50" s="66">
        <f t="shared" si="6"/>
        <v>54.532348720038577</v>
      </c>
      <c r="J50" s="25">
        <f t="shared" si="4"/>
        <v>19814511.165976718</v>
      </c>
      <c r="L50" s="25" t="b">
        <f t="shared" si="7"/>
        <v>1</v>
      </c>
    </row>
    <row r="51" spans="1:12" x14ac:dyDescent="0.2">
      <c r="A51" s="5" t="s">
        <v>151</v>
      </c>
      <c r="B51" s="5" t="s">
        <v>152</v>
      </c>
      <c r="C51" s="5" t="s">
        <v>65</v>
      </c>
      <c r="D51" s="23">
        <f>_xlfn.XLOOKUP($B51,'Inputs - Part 1'!$B$17:$B$66,'Inputs - Part 1'!$C$17:$C$66,FALSE)</f>
        <v>1989525.4872822496</v>
      </c>
      <c r="E51" s="13">
        <f t="shared" si="2"/>
        <v>8711225124.9906826</v>
      </c>
      <c r="F51" s="23">
        <f>_xlfn.XLOOKUP($B51, 'Inputs - Part 1'!$B$281:$B$333,'Inputs - Part 1'!$C$281:$C$333,FALSE)</f>
        <v>8711225124.9906826</v>
      </c>
      <c r="G51" s="67">
        <f t="shared" si="5"/>
        <v>1</v>
      </c>
      <c r="H51" s="13">
        <f t="shared" si="3"/>
        <v>1989525.4872822496</v>
      </c>
      <c r="I51" s="66">
        <f t="shared" si="6"/>
        <v>54.532348720038577</v>
      </c>
      <c r="J51" s="25">
        <f t="shared" si="4"/>
        <v>108493497.65988031</v>
      </c>
      <c r="L51" s="25" t="b">
        <f t="shared" si="7"/>
        <v>1</v>
      </c>
    </row>
    <row r="52" spans="1:12" x14ac:dyDescent="0.2">
      <c r="A52" s="5" t="s">
        <v>153</v>
      </c>
      <c r="B52" s="5" t="s">
        <v>154</v>
      </c>
      <c r="C52" s="5" t="s">
        <v>65</v>
      </c>
      <c r="D52" s="23">
        <f>_xlfn.XLOOKUP($B52,'Inputs - Part 1'!$B$17:$B$66,'Inputs - Part 1'!$C$17:$C$66,FALSE)</f>
        <v>75496.882018862598</v>
      </c>
      <c r="E52" s="13">
        <f t="shared" si="2"/>
        <v>403436515.48628306</v>
      </c>
      <c r="F52" s="23">
        <f>_xlfn.XLOOKUP($B52, 'Inputs - Part 1'!$B$281:$B$333,'Inputs - Part 1'!$C$281:$C$333,FALSE)</f>
        <v>403436515.48628306</v>
      </c>
      <c r="G52" s="67">
        <f t="shared" si="5"/>
        <v>1</v>
      </c>
      <c r="H52" s="13">
        <f t="shared" si="3"/>
        <v>75496.882018862598</v>
      </c>
      <c r="I52" s="66">
        <f t="shared" si="6"/>
        <v>54.532348720038577</v>
      </c>
      <c r="J52" s="25">
        <f t="shared" si="4"/>
        <v>4117022.2975282255</v>
      </c>
      <c r="L52" s="25" t="b">
        <f t="shared" si="7"/>
        <v>1</v>
      </c>
    </row>
    <row r="53" spans="1:12" x14ac:dyDescent="0.2">
      <c r="A53" s="5" t="s">
        <v>155</v>
      </c>
      <c r="B53" s="5" t="s">
        <v>156</v>
      </c>
      <c r="C53" s="5" t="s">
        <v>65</v>
      </c>
      <c r="D53" s="23">
        <f>_xlfn.XLOOKUP($B53,'Inputs - Part 1'!$B$17:$B$66,'Inputs - Part 1'!$C$17:$C$66,FALSE)</f>
        <v>294534.91870618955</v>
      </c>
      <c r="E53" s="13">
        <f t="shared" si="2"/>
        <v>1372923347.3227673</v>
      </c>
      <c r="F53" s="23">
        <f>_xlfn.XLOOKUP($B53, 'Inputs - Part 1'!$B$281:$B$333,'Inputs - Part 1'!$C$281:$C$333,FALSE)</f>
        <v>1372923347.3227673</v>
      </c>
      <c r="G53" s="67">
        <f t="shared" si="5"/>
        <v>1</v>
      </c>
      <c r="H53" s="13">
        <f t="shared" si="3"/>
        <v>294534.91870618955</v>
      </c>
      <c r="I53" s="66">
        <f t="shared" si="6"/>
        <v>54.532348720038577</v>
      </c>
      <c r="J53" s="25">
        <f t="shared" si="4"/>
        <v>16061680.897114143</v>
      </c>
      <c r="L53" s="25" t="b">
        <f t="shared" si="7"/>
        <v>1</v>
      </c>
    </row>
    <row r="54" spans="1:12" x14ac:dyDescent="0.2">
      <c r="A54" s="5" t="s">
        <v>157</v>
      </c>
      <c r="B54" s="5" t="s">
        <v>158</v>
      </c>
      <c r="C54" s="5" t="s">
        <v>65</v>
      </c>
      <c r="D54" s="23">
        <f>_xlfn.XLOOKUP($B54,'Inputs - Part 1'!$B$17:$B$66,'Inputs - Part 1'!$C$17:$C$66,FALSE)</f>
        <v>567326.26667015301</v>
      </c>
      <c r="E54" s="13">
        <f t="shared" si="2"/>
        <v>2433341039.9242315</v>
      </c>
      <c r="F54" s="23">
        <f>_xlfn.XLOOKUP($B54, 'Inputs - Part 1'!$B$281:$B$333,'Inputs - Part 1'!$C$281:$C$333,FALSE)</f>
        <v>2433341039.9242315</v>
      </c>
      <c r="G54" s="67">
        <f t="shared" si="5"/>
        <v>1</v>
      </c>
      <c r="H54" s="13">
        <f t="shared" si="3"/>
        <v>567326.26667015301</v>
      </c>
      <c r="I54" s="66">
        <f t="shared" si="6"/>
        <v>54.532348720038577</v>
      </c>
      <c r="J54" s="25">
        <f t="shared" si="4"/>
        <v>30937633.812094383</v>
      </c>
      <c r="L54" s="25" t="b">
        <f t="shared" si="7"/>
        <v>1</v>
      </c>
    </row>
    <row r="55" spans="1:12" x14ac:dyDescent="0.2">
      <c r="A55" s="5" t="s">
        <v>159</v>
      </c>
      <c r="B55" s="5" t="s">
        <v>160</v>
      </c>
      <c r="C55" s="5" t="s">
        <v>65</v>
      </c>
      <c r="D55" s="23">
        <f>_xlfn.XLOOKUP($B55,'Inputs - Part 1'!$B$17:$B$66,'Inputs - Part 1'!$C$17:$C$66,FALSE)</f>
        <v>53379.873568187126</v>
      </c>
      <c r="E55" s="13">
        <f t="shared" si="2"/>
        <v>252736413.31150568</v>
      </c>
      <c r="F55" s="23">
        <f>_xlfn.XLOOKUP($B55, 'Inputs - Part 1'!$B$281:$B$333,'Inputs - Part 1'!$C$281:$C$333,FALSE)</f>
        <v>252736413.31150568</v>
      </c>
      <c r="G55" s="67">
        <f t="shared" si="5"/>
        <v>1</v>
      </c>
      <c r="H55" s="13">
        <f t="shared" si="3"/>
        <v>53379.873568187126</v>
      </c>
      <c r="I55" s="66">
        <f t="shared" si="6"/>
        <v>54.532348720038577</v>
      </c>
      <c r="J55" s="25">
        <f t="shared" si="4"/>
        <v>2910929.8800519505</v>
      </c>
      <c r="L55" s="25" t="b">
        <f t="shared" si="7"/>
        <v>1</v>
      </c>
    </row>
    <row r="56" spans="1:12" x14ac:dyDescent="0.2">
      <c r="A56" s="5" t="s">
        <v>161</v>
      </c>
      <c r="B56" s="5" t="s">
        <v>162</v>
      </c>
      <c r="C56" s="5" t="s">
        <v>70</v>
      </c>
      <c r="D56" s="23">
        <f>_xlfn.XLOOKUP($B56,'Inputs - Part 1'!$B$17:$B$66,'Inputs - Part 1'!$C$17:$C$66,FALSE)</f>
        <v>28990.393522306949</v>
      </c>
      <c r="E56" s="13">
        <f>F56</f>
        <v>159588579.0945825</v>
      </c>
      <c r="F56" s="23">
        <f>_xlfn.XLOOKUP($B56, 'Inputs - Part 1'!$B$281:$B$333,'Inputs - Part 1'!$C$281:$C$333,FALSE)</f>
        <v>159588579.0945825</v>
      </c>
      <c r="G56" s="67">
        <f t="shared" ref="G56" si="8">IFERROR(F56/E56,"")</f>
        <v>1</v>
      </c>
      <c r="H56" s="13">
        <f t="shared" ref="H56" si="9">IFERROR(G56*D56,"")</f>
        <v>28990.393522306949</v>
      </c>
      <c r="I56" s="66">
        <f t="shared" si="6"/>
        <v>54.532348720038577</v>
      </c>
      <c r="J56" s="25">
        <f>IFERROR(H56*I56,"")</f>
        <v>1580914.24908959</v>
      </c>
      <c r="L56" s="25" t="b">
        <f t="shared" si="7"/>
        <v>1</v>
      </c>
    </row>
    <row r="57" spans="1:12" x14ac:dyDescent="0.2">
      <c r="A57" s="5" t="s">
        <v>163</v>
      </c>
      <c r="B57" s="5" t="s">
        <v>164</v>
      </c>
      <c r="C57" s="5" t="s">
        <v>70</v>
      </c>
      <c r="D57" s="23">
        <f>_xlfn.XLOOKUP($B57,'Inputs - Part 1'!$B$17:$B$66,'Inputs - Part 1'!$C$17:$C$66,FALSE)</f>
        <v>36397.540102123574</v>
      </c>
      <c r="E57" s="13">
        <f t="shared" si="2"/>
        <v>240503969.75198984</v>
      </c>
      <c r="F57" s="23">
        <f>_xlfn.XLOOKUP($B57, 'Inputs - Part 1'!$B$281:$B$333,'Inputs - Part 1'!$C$281:$C$333,FALSE)</f>
        <v>240503969.75198984</v>
      </c>
      <c r="G57" s="67">
        <f t="shared" si="5"/>
        <v>1</v>
      </c>
      <c r="H57" s="13">
        <f t="shared" si="3"/>
        <v>36397.540102123574</v>
      </c>
      <c r="I57" s="66">
        <f t="shared" si="6"/>
        <v>54.532348720038577</v>
      </c>
      <c r="J57" s="25">
        <f t="shared" si="4"/>
        <v>1984843.3494005913</v>
      </c>
      <c r="L57" s="25" t="b">
        <f t="shared" si="7"/>
        <v>1</v>
      </c>
    </row>
    <row r="58" spans="1:12" x14ac:dyDescent="0.2">
      <c r="A58" s="5" t="s">
        <v>165</v>
      </c>
      <c r="B58" s="5" t="s">
        <v>166</v>
      </c>
      <c r="C58" s="5" t="s">
        <v>41</v>
      </c>
      <c r="D58" s="5"/>
      <c r="E58" s="5"/>
      <c r="F58" s="5"/>
      <c r="G58" s="5"/>
      <c r="H58" s="5"/>
      <c r="I58" s="5"/>
      <c r="J58" s="5"/>
      <c r="L58" s="25"/>
    </row>
    <row r="59" spans="1:12" x14ac:dyDescent="0.2">
      <c r="A59" s="5" t="s">
        <v>167</v>
      </c>
      <c r="B59" s="5" t="s">
        <v>168</v>
      </c>
      <c r="C59" s="5" t="s">
        <v>70</v>
      </c>
      <c r="D59" s="5"/>
      <c r="E59" s="5"/>
      <c r="F59" s="5"/>
      <c r="G59" s="5"/>
      <c r="H59" s="5"/>
      <c r="I59" s="5"/>
      <c r="J59" s="5"/>
      <c r="L59" s="25"/>
    </row>
    <row r="60" spans="1:12" x14ac:dyDescent="0.2">
      <c r="A60" s="5" t="s">
        <v>169</v>
      </c>
      <c r="B60" s="5" t="s">
        <v>170</v>
      </c>
      <c r="C60" s="5" t="s">
        <v>41</v>
      </c>
      <c r="D60" s="5"/>
      <c r="E60" s="5"/>
      <c r="F60" s="5"/>
      <c r="G60" s="5"/>
      <c r="H60" s="5"/>
      <c r="I60" s="5"/>
      <c r="J60" s="5"/>
      <c r="L60" s="25"/>
    </row>
    <row r="61" spans="1:12" x14ac:dyDescent="0.2">
      <c r="A61" s="5" t="s">
        <v>171</v>
      </c>
      <c r="B61" s="5" t="s">
        <v>172</v>
      </c>
      <c r="C61" s="5" t="s">
        <v>41</v>
      </c>
      <c r="D61" s="5"/>
      <c r="E61" s="5"/>
      <c r="F61" s="5"/>
      <c r="G61" s="5"/>
      <c r="H61" s="5"/>
      <c r="I61" s="5"/>
      <c r="J61" s="5"/>
      <c r="L61" s="25"/>
    </row>
    <row r="62" spans="1:12" x14ac:dyDescent="0.2">
      <c r="A62" s="5" t="s">
        <v>173</v>
      </c>
      <c r="B62" s="5" t="s">
        <v>174</v>
      </c>
      <c r="C62" s="5" t="s">
        <v>41</v>
      </c>
      <c r="D62" s="5"/>
      <c r="E62" s="5"/>
      <c r="F62" s="5"/>
      <c r="G62" s="5"/>
      <c r="H62" s="5"/>
      <c r="I62" s="5"/>
      <c r="J62" s="5"/>
      <c r="L62" s="25"/>
    </row>
    <row r="63" spans="1:12" x14ac:dyDescent="0.2">
      <c r="A63" s="5" t="s">
        <v>103</v>
      </c>
      <c r="B63" s="5" t="s">
        <v>175</v>
      </c>
      <c r="C63" s="5" t="s">
        <v>41</v>
      </c>
      <c r="D63" s="5"/>
      <c r="E63" s="5"/>
      <c r="F63" s="5"/>
      <c r="G63" s="5"/>
      <c r="H63" s="5"/>
      <c r="I63" s="5"/>
      <c r="J63" s="5"/>
      <c r="L63" s="25"/>
    </row>
    <row r="65" spans="1:18" ht="23.25" x14ac:dyDescent="0.35">
      <c r="A65" s="28" t="s">
        <v>176</v>
      </c>
    </row>
    <row r="66" spans="1:18" x14ac:dyDescent="0.2">
      <c r="I66" s="23">
        <f>SUM(D8:D57)</f>
        <v>8331187.0914225243</v>
      </c>
      <c r="J66" s="65" t="s">
        <v>177</v>
      </c>
      <c r="Q66" s="109" t="s">
        <v>178</v>
      </c>
    </row>
    <row r="67" spans="1:18" x14ac:dyDescent="0.2">
      <c r="I67" s="23">
        <f>SUM(E8:E57)</f>
        <v>41008076408.529854</v>
      </c>
      <c r="J67" s="65" t="s">
        <v>179</v>
      </c>
      <c r="P67" s="65" t="str">
        <f>'Inputs - Part 1'!B7</f>
        <v>Residual Revenue (RR)</v>
      </c>
      <c r="Q67" s="82">
        <f>'Inputs - Part 1'!C7</f>
        <v>454.31919972133693</v>
      </c>
    </row>
    <row r="68" spans="1:18" x14ac:dyDescent="0.2">
      <c r="I68" s="29">
        <f>I66/I67</f>
        <v>2.0315966563331906E-4</v>
      </c>
      <c r="J68" s="65" t="s">
        <v>180</v>
      </c>
      <c r="P68" s="65" t="s">
        <v>181</v>
      </c>
      <c r="Q68" s="82">
        <f>SUM(P73:P122)</f>
        <v>8331187.0914225243</v>
      </c>
    </row>
    <row r="69" spans="1:18" x14ac:dyDescent="0.2">
      <c r="P69" s="65"/>
      <c r="Q69" s="69">
        <f>Q67/Q68*1000000</f>
        <v>54.53234872003857</v>
      </c>
    </row>
    <row r="70" spans="1:18" ht="20.25" x14ac:dyDescent="0.3">
      <c r="D70" s="47" t="s">
        <v>35</v>
      </c>
      <c r="I70" s="47" t="s">
        <v>182</v>
      </c>
      <c r="O70" s="47" t="s">
        <v>183</v>
      </c>
    </row>
    <row r="71" spans="1:18" ht="30" customHeight="1" x14ac:dyDescent="0.25">
      <c r="D71" s="85" t="s">
        <v>184</v>
      </c>
      <c r="E71" s="4"/>
      <c r="I71" s="85" t="s">
        <v>185</v>
      </c>
      <c r="J71" s="4"/>
      <c r="O71" s="99" t="s">
        <v>186</v>
      </c>
    </row>
    <row r="72" spans="1:18" ht="30" x14ac:dyDescent="0.2">
      <c r="A72" s="21" t="str">
        <f t="shared" ref="A72:C91" si="10">A7</f>
        <v>Customer code</v>
      </c>
      <c r="B72" s="21" t="str">
        <f t="shared" si="10"/>
        <v>Customer name</v>
      </c>
      <c r="C72" s="21" t="str">
        <f t="shared" si="10"/>
        <v>Customer type</v>
      </c>
      <c r="D72" s="62" t="s">
        <v>187</v>
      </c>
      <c r="E72" s="62" t="s">
        <v>188</v>
      </c>
      <c r="F72" s="62" t="s">
        <v>189</v>
      </c>
      <c r="G72" s="62" t="s">
        <v>61</v>
      </c>
      <c r="I72" s="62" t="s">
        <v>190</v>
      </c>
      <c r="J72" s="62" t="s">
        <v>188</v>
      </c>
      <c r="K72" s="62" t="s">
        <v>60</v>
      </c>
      <c r="L72" s="62" t="s">
        <v>61</v>
      </c>
      <c r="O72" s="21" t="s">
        <v>191</v>
      </c>
      <c r="P72" s="21" t="s">
        <v>188</v>
      </c>
      <c r="Q72" s="21" t="s">
        <v>60</v>
      </c>
      <c r="R72" s="21" t="s">
        <v>61</v>
      </c>
    </row>
    <row r="73" spans="1:18" x14ac:dyDescent="0.2">
      <c r="A73" s="27" t="str">
        <f t="shared" si="10"/>
        <v>Alpine Energy Ltd</v>
      </c>
      <c r="B73" s="27" t="str">
        <f t="shared" si="10"/>
        <v>ALPE</v>
      </c>
      <c r="C73" s="27" t="str">
        <f t="shared" si="10"/>
        <v>Lines Business</v>
      </c>
      <c r="D73" s="45">
        <f t="shared" ref="D73:D104" si="11">IFERROR(D8/E8,"")</f>
        <v>1.955668876135863E-4</v>
      </c>
      <c r="E73" s="25">
        <f t="shared" ref="E73:E104" si="12">IFERROR($D8+($F8-$E8)*$D73,"")</f>
        <v>157908.87169791179</v>
      </c>
      <c r="F73" s="69">
        <f>$I$4</f>
        <v>54.532348720038577</v>
      </c>
      <c r="G73" s="25">
        <f>IFERROR(F73*E73,"")</f>
        <v>8611141.6574183553</v>
      </c>
      <c r="I73" s="45">
        <f t="shared" ref="I73:I104" si="13">$I$68</f>
        <v>2.0315966563331906E-4</v>
      </c>
      <c r="J73" s="25">
        <f t="shared" ref="J73:J104" si="14">IFERROR($D8+($F8-$E8)*$I73,"")</f>
        <v>157908.87169791179</v>
      </c>
      <c r="K73" s="69">
        <f>$I$4</f>
        <v>54.532348720038577</v>
      </c>
      <c r="L73" s="25">
        <f t="shared" ref="L73:L104" si="15">K73*J73</f>
        <v>8611141.6574183553</v>
      </c>
      <c r="O73" s="83">
        <f t="shared" ref="O73:O104" si="16">IFERROR(F8/E8,"")</f>
        <v>1</v>
      </c>
      <c r="P73" s="25">
        <f t="shared" ref="P73:P104" si="17">IF(O73&lt;1,E73,J73)</f>
        <v>157908.87169791179</v>
      </c>
      <c r="Q73" s="60">
        <f t="shared" ref="Q73:Q104" si="18">$Q$69</f>
        <v>54.53234872003857</v>
      </c>
      <c r="R73" s="25">
        <f t="shared" ref="R73:R104" si="19">IF(O73&lt;1,E73*Q73,J73*Q73)</f>
        <v>8611141.6574183553</v>
      </c>
    </row>
    <row r="74" spans="1:18" x14ac:dyDescent="0.2">
      <c r="A74" s="27" t="str">
        <f t="shared" si="10"/>
        <v>Aurora Energy Limited</v>
      </c>
      <c r="B74" s="27" t="str">
        <f t="shared" si="10"/>
        <v>DUNE</v>
      </c>
      <c r="C74" s="27" t="str">
        <f t="shared" si="10"/>
        <v>Lines Business</v>
      </c>
      <c r="D74" s="45">
        <f t="shared" si="11"/>
        <v>2.2509828069221987E-4</v>
      </c>
      <c r="E74" s="25">
        <f t="shared" si="12"/>
        <v>314515.10018347035</v>
      </c>
      <c r="F74" s="69">
        <f t="shared" ref="F74:F122" si="20">$I$4</f>
        <v>54.532348720038577</v>
      </c>
      <c r="G74" s="25">
        <f t="shared" ref="G74:G122" si="21">IFERROR(F74*E74,"")</f>
        <v>17151247.120922875</v>
      </c>
      <c r="I74" s="45">
        <f t="shared" si="13"/>
        <v>2.0315966563331906E-4</v>
      </c>
      <c r="J74" s="25">
        <f t="shared" si="14"/>
        <v>314515.10018347035</v>
      </c>
      <c r="K74" s="69">
        <f t="shared" ref="K74:K122" si="22">$I$4</f>
        <v>54.532348720038577</v>
      </c>
      <c r="L74" s="25">
        <f t="shared" si="15"/>
        <v>17151247.120922875</v>
      </c>
      <c r="O74" s="83">
        <f t="shared" si="16"/>
        <v>1</v>
      </c>
      <c r="P74" s="25">
        <f t="shared" si="17"/>
        <v>314515.10018347035</v>
      </c>
      <c r="Q74" s="60">
        <f t="shared" si="18"/>
        <v>54.53234872003857</v>
      </c>
      <c r="R74" s="25">
        <f t="shared" si="19"/>
        <v>17151247.120922871</v>
      </c>
    </row>
    <row r="75" spans="1:18" x14ac:dyDescent="0.2">
      <c r="A75" s="27" t="str">
        <f t="shared" si="10"/>
        <v>Beach Energy Resources NZ (Holdings) Ltd</v>
      </c>
      <c r="B75" s="27" t="str">
        <f t="shared" si="10"/>
        <v>KUPE</v>
      </c>
      <c r="C75" s="27" t="str">
        <f t="shared" si="10"/>
        <v>Direct Connect</v>
      </c>
      <c r="D75" s="45">
        <f t="shared" si="11"/>
        <v>1.5232226038673486E-4</v>
      </c>
      <c r="E75" s="25">
        <f t="shared" si="12"/>
        <v>9169.2914333076369</v>
      </c>
      <c r="F75" s="69">
        <f t="shared" si="20"/>
        <v>54.532348720038577</v>
      </c>
      <c r="G75" s="25">
        <f t="shared" si="21"/>
        <v>500022.9979567944</v>
      </c>
      <c r="I75" s="45">
        <f t="shared" si="13"/>
        <v>2.0315966563331906E-4</v>
      </c>
      <c r="J75" s="25">
        <f t="shared" si="14"/>
        <v>9169.2914333076369</v>
      </c>
      <c r="K75" s="69">
        <f t="shared" si="22"/>
        <v>54.532348720038577</v>
      </c>
      <c r="L75" s="25">
        <f t="shared" si="15"/>
        <v>500022.9979567944</v>
      </c>
      <c r="O75" s="83">
        <f t="shared" si="16"/>
        <v>1</v>
      </c>
      <c r="P75" s="25">
        <f t="shared" si="17"/>
        <v>9169.2914333076369</v>
      </c>
      <c r="Q75" s="60">
        <f t="shared" si="18"/>
        <v>54.53234872003857</v>
      </c>
      <c r="R75" s="25">
        <f t="shared" si="19"/>
        <v>500022.99795679434</v>
      </c>
    </row>
    <row r="76" spans="1:18" x14ac:dyDescent="0.2">
      <c r="A76" s="27" t="str">
        <f t="shared" si="10"/>
        <v>Buller Electricity Ltd</v>
      </c>
      <c r="B76" s="27" t="str">
        <f t="shared" si="10"/>
        <v>BUEL</v>
      </c>
      <c r="C76" s="27" t="str">
        <f t="shared" si="10"/>
        <v>Lines Business</v>
      </c>
      <c r="D76" s="45">
        <f t="shared" si="11"/>
        <v>1.9322431187833002E-4</v>
      </c>
      <c r="E76" s="25">
        <f t="shared" si="12"/>
        <v>12557.346564605836</v>
      </c>
      <c r="F76" s="69">
        <f t="shared" si="20"/>
        <v>54.532348720038577</v>
      </c>
      <c r="G76" s="25">
        <f t="shared" si="21"/>
        <v>684781.60185946384</v>
      </c>
      <c r="I76" s="45">
        <f t="shared" si="13"/>
        <v>2.0315966563331906E-4</v>
      </c>
      <c r="J76" s="25">
        <f t="shared" si="14"/>
        <v>12557.346564605836</v>
      </c>
      <c r="K76" s="69">
        <f t="shared" si="22"/>
        <v>54.532348720038577</v>
      </c>
      <c r="L76" s="25">
        <f t="shared" si="15"/>
        <v>684781.60185946384</v>
      </c>
      <c r="O76" s="83">
        <f t="shared" si="16"/>
        <v>1</v>
      </c>
      <c r="P76" s="25">
        <f t="shared" si="17"/>
        <v>12557.346564605836</v>
      </c>
      <c r="Q76" s="60">
        <f t="shared" si="18"/>
        <v>54.53234872003857</v>
      </c>
      <c r="R76" s="25">
        <f t="shared" si="19"/>
        <v>684781.60185946373</v>
      </c>
    </row>
    <row r="77" spans="1:18" x14ac:dyDescent="0.2">
      <c r="A77" s="27" t="str">
        <f t="shared" si="10"/>
        <v>Centralines Limited</v>
      </c>
      <c r="B77" s="27" t="str">
        <f t="shared" si="10"/>
        <v>CHBP</v>
      </c>
      <c r="C77" s="27" t="str">
        <f t="shared" si="10"/>
        <v>Lines Business</v>
      </c>
      <c r="D77" s="45">
        <f t="shared" si="11"/>
        <v>1.7550237575853747E-4</v>
      </c>
      <c r="E77" s="25">
        <f t="shared" si="12"/>
        <v>20401.126551369241</v>
      </c>
      <c r="F77" s="69">
        <f t="shared" si="20"/>
        <v>54.532348720038577</v>
      </c>
      <c r="G77" s="25">
        <f t="shared" si="21"/>
        <v>1112521.3473809054</v>
      </c>
      <c r="I77" s="45">
        <f t="shared" si="13"/>
        <v>2.0315966563331906E-4</v>
      </c>
      <c r="J77" s="25">
        <f t="shared" si="14"/>
        <v>20401.126551369241</v>
      </c>
      <c r="K77" s="69">
        <f t="shared" si="22"/>
        <v>54.532348720038577</v>
      </c>
      <c r="L77" s="25">
        <f t="shared" si="15"/>
        <v>1112521.3473809054</v>
      </c>
      <c r="O77" s="83">
        <f t="shared" si="16"/>
        <v>1</v>
      </c>
      <c r="P77" s="25">
        <f t="shared" si="17"/>
        <v>20401.126551369241</v>
      </c>
      <c r="Q77" s="60">
        <f t="shared" si="18"/>
        <v>54.53234872003857</v>
      </c>
      <c r="R77" s="25">
        <f t="shared" si="19"/>
        <v>1112521.3473809054</v>
      </c>
    </row>
    <row r="78" spans="1:18" x14ac:dyDescent="0.2">
      <c r="A78" s="27" t="str">
        <f t="shared" si="10"/>
        <v>Contact Energy Limited</v>
      </c>
      <c r="B78" s="27" t="str">
        <f t="shared" si="10"/>
        <v>CTCT</v>
      </c>
      <c r="C78" s="27" t="str">
        <f t="shared" si="10"/>
        <v>Generator</v>
      </c>
      <c r="D78" s="45">
        <f t="shared" si="11"/>
        <v>3.1813972959859565E-3</v>
      </c>
      <c r="E78" s="25">
        <f t="shared" si="12"/>
        <v>23926.403185245243</v>
      </c>
      <c r="F78" s="69">
        <f t="shared" si="20"/>
        <v>54.532348720038577</v>
      </c>
      <c r="G78" s="25">
        <f>IFERROR(F78*E78,"")</f>
        <v>1304762.9621140354</v>
      </c>
      <c r="I78" s="45">
        <f t="shared" si="13"/>
        <v>2.0315966563331906E-4</v>
      </c>
      <c r="J78" s="25">
        <f t="shared" si="14"/>
        <v>23926.403185245243</v>
      </c>
      <c r="K78" s="69">
        <f t="shared" si="22"/>
        <v>54.532348720038577</v>
      </c>
      <c r="L78" s="25">
        <f t="shared" si="15"/>
        <v>1304762.9621140354</v>
      </c>
      <c r="O78" s="83">
        <f t="shared" si="16"/>
        <v>1</v>
      </c>
      <c r="P78" s="25">
        <f t="shared" si="17"/>
        <v>23926.403185245243</v>
      </c>
      <c r="Q78" s="60">
        <f t="shared" si="18"/>
        <v>54.53234872003857</v>
      </c>
      <c r="R78" s="25">
        <f t="shared" si="19"/>
        <v>1304762.9621140352</v>
      </c>
    </row>
    <row r="79" spans="1:18" x14ac:dyDescent="0.2">
      <c r="A79" s="27" t="str">
        <f t="shared" si="10"/>
        <v>Counties Energy Ltd</v>
      </c>
      <c r="B79" s="27" t="str">
        <f t="shared" si="10"/>
        <v>COUP</v>
      </c>
      <c r="C79" s="27" t="str">
        <f t="shared" si="10"/>
        <v>Lines Business</v>
      </c>
      <c r="D79" s="45">
        <f t="shared" si="11"/>
        <v>2.1128264486284764E-4</v>
      </c>
      <c r="E79" s="25">
        <f t="shared" si="12"/>
        <v>125646.12072311423</v>
      </c>
      <c r="F79" s="69">
        <f t="shared" si="20"/>
        <v>54.532348720038577</v>
      </c>
      <c r="G79" s="25">
        <f t="shared" si="21"/>
        <v>6851778.0705929305</v>
      </c>
      <c r="I79" s="45">
        <f t="shared" si="13"/>
        <v>2.0315966563331906E-4</v>
      </c>
      <c r="J79" s="25">
        <f t="shared" si="14"/>
        <v>125646.12072311423</v>
      </c>
      <c r="K79" s="69">
        <f t="shared" si="22"/>
        <v>54.532348720038577</v>
      </c>
      <c r="L79" s="25">
        <f t="shared" si="15"/>
        <v>6851778.0705929305</v>
      </c>
      <c r="O79" s="83">
        <f t="shared" si="16"/>
        <v>1</v>
      </c>
      <c r="P79" s="25">
        <f t="shared" si="17"/>
        <v>125646.12072311423</v>
      </c>
      <c r="Q79" s="60">
        <f t="shared" si="18"/>
        <v>54.53234872003857</v>
      </c>
      <c r="R79" s="25">
        <f t="shared" si="19"/>
        <v>6851778.0705929296</v>
      </c>
    </row>
    <row r="80" spans="1:18" x14ac:dyDescent="0.2">
      <c r="A80" s="27" t="str">
        <f t="shared" si="10"/>
        <v>Daiken Southland Limited</v>
      </c>
      <c r="B80" s="27" t="str">
        <f t="shared" si="10"/>
        <v>RAYN</v>
      </c>
      <c r="C80" s="27" t="str">
        <f t="shared" si="10"/>
        <v>Direct Connect</v>
      </c>
      <c r="D80" s="45">
        <f t="shared" si="11"/>
        <v>1.5906839890475862E-4</v>
      </c>
      <c r="E80" s="25">
        <f t="shared" si="12"/>
        <v>9212.9301183784573</v>
      </c>
      <c r="F80" s="69">
        <f t="shared" si="20"/>
        <v>54.532348720038577</v>
      </c>
      <c r="G80" s="25">
        <f t="shared" si="21"/>
        <v>502402.71794876031</v>
      </c>
      <c r="I80" s="45">
        <f t="shared" si="13"/>
        <v>2.0315966563331906E-4</v>
      </c>
      <c r="J80" s="25">
        <f t="shared" si="14"/>
        <v>9212.9301183784573</v>
      </c>
      <c r="K80" s="69">
        <f t="shared" si="22"/>
        <v>54.532348720038577</v>
      </c>
      <c r="L80" s="25">
        <f t="shared" si="15"/>
        <v>502402.71794876031</v>
      </c>
      <c r="O80" s="83">
        <f t="shared" si="16"/>
        <v>1</v>
      </c>
      <c r="P80" s="25">
        <f t="shared" si="17"/>
        <v>9212.9301183784573</v>
      </c>
      <c r="Q80" s="60">
        <f t="shared" si="18"/>
        <v>54.53234872003857</v>
      </c>
      <c r="R80" s="25">
        <f t="shared" si="19"/>
        <v>502402.71794876026</v>
      </c>
    </row>
    <row r="81" spans="1:18" x14ac:dyDescent="0.2">
      <c r="A81" s="27" t="str">
        <f t="shared" si="10"/>
        <v>EA Networks</v>
      </c>
      <c r="B81" s="27" t="str">
        <f t="shared" si="10"/>
        <v>EASH</v>
      </c>
      <c r="C81" s="27" t="str">
        <f t="shared" si="10"/>
        <v>Lines Business</v>
      </c>
      <c r="D81" s="45">
        <f t="shared" si="11"/>
        <v>2.7136846274916502E-4</v>
      </c>
      <c r="E81" s="25">
        <f t="shared" si="12"/>
        <v>164353.54933700786</v>
      </c>
      <c r="F81" s="69">
        <f t="shared" si="20"/>
        <v>54.532348720038577</v>
      </c>
      <c r="G81" s="25">
        <f t="shared" si="21"/>
        <v>8962585.065821778</v>
      </c>
      <c r="I81" s="45">
        <f t="shared" si="13"/>
        <v>2.0315966563331906E-4</v>
      </c>
      <c r="J81" s="25">
        <f t="shared" si="14"/>
        <v>164353.54933700786</v>
      </c>
      <c r="K81" s="69">
        <f t="shared" si="22"/>
        <v>54.532348720038577</v>
      </c>
      <c r="L81" s="25">
        <f t="shared" si="15"/>
        <v>8962585.065821778</v>
      </c>
      <c r="O81" s="83">
        <f t="shared" si="16"/>
        <v>1</v>
      </c>
      <c r="P81" s="25">
        <f t="shared" si="17"/>
        <v>164353.54933700786</v>
      </c>
      <c r="Q81" s="60">
        <f t="shared" si="18"/>
        <v>54.53234872003857</v>
      </c>
      <c r="R81" s="25">
        <f t="shared" si="19"/>
        <v>8962585.0658217762</v>
      </c>
    </row>
    <row r="82" spans="1:18" x14ac:dyDescent="0.2">
      <c r="A82" s="27" t="str">
        <f t="shared" si="10"/>
        <v>Electra Limited</v>
      </c>
      <c r="B82" s="27" t="str">
        <f t="shared" si="10"/>
        <v>HORO</v>
      </c>
      <c r="C82" s="27" t="str">
        <f t="shared" si="10"/>
        <v>Lines Business</v>
      </c>
      <c r="D82" s="45">
        <f t="shared" si="11"/>
        <v>2.5175487865869883E-4</v>
      </c>
      <c r="E82" s="25">
        <f t="shared" si="12"/>
        <v>111170.00569507317</v>
      </c>
      <c r="F82" s="69">
        <f t="shared" si="20"/>
        <v>54.532348720038577</v>
      </c>
      <c r="G82" s="25">
        <f t="shared" si="21"/>
        <v>6062361.5177724045</v>
      </c>
      <c r="I82" s="45">
        <f t="shared" si="13"/>
        <v>2.0315966563331906E-4</v>
      </c>
      <c r="J82" s="25">
        <f t="shared" si="14"/>
        <v>111170.00569507317</v>
      </c>
      <c r="K82" s="69">
        <f t="shared" si="22"/>
        <v>54.532348720038577</v>
      </c>
      <c r="L82" s="25">
        <f t="shared" si="15"/>
        <v>6062361.5177724045</v>
      </c>
      <c r="O82" s="83">
        <f t="shared" si="16"/>
        <v>1</v>
      </c>
      <c r="P82" s="25">
        <f t="shared" si="17"/>
        <v>111170.00569507317</v>
      </c>
      <c r="Q82" s="60">
        <f t="shared" si="18"/>
        <v>54.53234872003857</v>
      </c>
      <c r="R82" s="25">
        <f t="shared" si="19"/>
        <v>6062361.5177724035</v>
      </c>
    </row>
    <row r="83" spans="1:18" x14ac:dyDescent="0.2">
      <c r="A83" s="27" t="str">
        <f t="shared" si="10"/>
        <v>Firstlight Network Limited</v>
      </c>
      <c r="B83" s="27" t="str">
        <f t="shared" si="10"/>
        <v>EAST</v>
      </c>
      <c r="C83" s="27" t="str">
        <f t="shared" si="10"/>
        <v>Lines Business</v>
      </c>
      <c r="D83" s="45">
        <f t="shared" si="11"/>
        <v>1.9687918503076728E-4</v>
      </c>
      <c r="E83" s="25">
        <f t="shared" si="12"/>
        <v>60328.437034872062</v>
      </c>
      <c r="F83" s="69">
        <f t="shared" si="20"/>
        <v>54.532348720038577</v>
      </c>
      <c r="G83" s="25">
        <f t="shared" si="21"/>
        <v>3289851.3661205336</v>
      </c>
      <c r="I83" s="45">
        <f t="shared" si="13"/>
        <v>2.0315966563331906E-4</v>
      </c>
      <c r="J83" s="25">
        <f t="shared" si="14"/>
        <v>60328.437034872062</v>
      </c>
      <c r="K83" s="69">
        <f t="shared" si="22"/>
        <v>54.532348720038577</v>
      </c>
      <c r="L83" s="25">
        <f t="shared" si="15"/>
        <v>3289851.3661205336</v>
      </c>
      <c r="O83" s="83">
        <f t="shared" si="16"/>
        <v>1</v>
      </c>
      <c r="P83" s="25">
        <f t="shared" si="17"/>
        <v>60328.437034872062</v>
      </c>
      <c r="Q83" s="60">
        <f t="shared" si="18"/>
        <v>54.53234872003857</v>
      </c>
      <c r="R83" s="25">
        <f t="shared" si="19"/>
        <v>3289851.3661205331</v>
      </c>
    </row>
    <row r="84" spans="1:18" x14ac:dyDescent="0.2">
      <c r="A84" s="27" t="str">
        <f t="shared" si="10"/>
        <v>Genesis Energy Ltd</v>
      </c>
      <c r="B84" s="27" t="str">
        <f t="shared" si="10"/>
        <v>GENE</v>
      </c>
      <c r="C84" s="27" t="str">
        <f t="shared" si="10"/>
        <v>Generator</v>
      </c>
      <c r="D84" s="45">
        <f t="shared" si="11"/>
        <v>2.5577718825693279E-3</v>
      </c>
      <c r="E84" s="25">
        <f t="shared" si="12"/>
        <v>12257.209096288712</v>
      </c>
      <c r="F84" s="69">
        <f t="shared" si="20"/>
        <v>54.532348720038577</v>
      </c>
      <c r="G84" s="25">
        <f t="shared" si="21"/>
        <v>668414.40077324491</v>
      </c>
      <c r="I84" s="45">
        <f t="shared" si="13"/>
        <v>2.0315966563331906E-4</v>
      </c>
      <c r="J84" s="25">
        <f t="shared" si="14"/>
        <v>12257.209096288712</v>
      </c>
      <c r="K84" s="69">
        <f t="shared" si="22"/>
        <v>54.532348720038577</v>
      </c>
      <c r="L84" s="25">
        <f t="shared" si="15"/>
        <v>668414.40077324491</v>
      </c>
      <c r="O84" s="83">
        <f t="shared" si="16"/>
        <v>1</v>
      </c>
      <c r="P84" s="25">
        <f t="shared" si="17"/>
        <v>12257.209096288712</v>
      </c>
      <c r="Q84" s="60">
        <f t="shared" si="18"/>
        <v>54.53234872003857</v>
      </c>
      <c r="R84" s="25">
        <f t="shared" si="19"/>
        <v>668414.40077324491</v>
      </c>
    </row>
    <row r="85" spans="1:18" x14ac:dyDescent="0.2">
      <c r="A85" s="27" t="str">
        <f t="shared" si="10"/>
        <v>Horizon Energy Distribution Ltd</v>
      </c>
      <c r="B85" s="27" t="str">
        <f t="shared" si="10"/>
        <v>HRZE</v>
      </c>
      <c r="C85" s="27" t="str">
        <f t="shared" si="10"/>
        <v>Lines Business</v>
      </c>
      <c r="D85" s="45">
        <f t="shared" si="11"/>
        <v>1.808571529261597E-4</v>
      </c>
      <c r="E85" s="25">
        <f t="shared" si="12"/>
        <v>93955.435419196016</v>
      </c>
      <c r="F85" s="69">
        <f t="shared" si="20"/>
        <v>54.532348720038577</v>
      </c>
      <c r="G85" s="25">
        <f t="shared" si="21"/>
        <v>5123610.5684226612</v>
      </c>
      <c r="I85" s="45">
        <f t="shared" si="13"/>
        <v>2.0315966563331906E-4</v>
      </c>
      <c r="J85" s="25">
        <f t="shared" si="14"/>
        <v>93955.435419196016</v>
      </c>
      <c r="K85" s="69">
        <f t="shared" si="22"/>
        <v>54.532348720038577</v>
      </c>
      <c r="L85" s="25">
        <f t="shared" si="15"/>
        <v>5123610.5684226612</v>
      </c>
      <c r="O85" s="83">
        <f t="shared" si="16"/>
        <v>1</v>
      </c>
      <c r="P85" s="25">
        <f t="shared" si="17"/>
        <v>93955.435419196016</v>
      </c>
      <c r="Q85" s="60">
        <f t="shared" si="18"/>
        <v>54.53234872003857</v>
      </c>
      <c r="R85" s="25">
        <f t="shared" si="19"/>
        <v>5123610.5684226602</v>
      </c>
    </row>
    <row r="86" spans="1:18" x14ac:dyDescent="0.2">
      <c r="A86" s="27" t="str">
        <f t="shared" si="10"/>
        <v>KiwiRail Holdings Limited</v>
      </c>
      <c r="B86" s="27" t="str">
        <f t="shared" si="10"/>
        <v>TRNZ</v>
      </c>
      <c r="C86" s="27" t="str">
        <f t="shared" si="10"/>
        <v>Direct Connect</v>
      </c>
      <c r="D86" s="45">
        <f t="shared" si="11"/>
        <v>8.7410883713865642E-4</v>
      </c>
      <c r="E86" s="25">
        <f t="shared" si="12"/>
        <v>44295.030922028483</v>
      </c>
      <c r="F86" s="69">
        <f t="shared" si="20"/>
        <v>54.532348720038577</v>
      </c>
      <c r="G86" s="25">
        <f t="shared" si="21"/>
        <v>2415512.0728049492</v>
      </c>
      <c r="I86" s="45">
        <f t="shared" si="13"/>
        <v>2.0315966563331906E-4</v>
      </c>
      <c r="J86" s="25">
        <f t="shared" si="14"/>
        <v>44295.030922028483</v>
      </c>
      <c r="K86" s="69">
        <f t="shared" si="22"/>
        <v>54.532348720038577</v>
      </c>
      <c r="L86" s="25">
        <f t="shared" si="15"/>
        <v>2415512.0728049492</v>
      </c>
      <c r="O86" s="83">
        <f t="shared" si="16"/>
        <v>1</v>
      </c>
      <c r="P86" s="25">
        <f t="shared" si="17"/>
        <v>44295.030922028483</v>
      </c>
      <c r="Q86" s="60">
        <f t="shared" si="18"/>
        <v>54.53234872003857</v>
      </c>
      <c r="R86" s="25">
        <f t="shared" si="19"/>
        <v>2415512.0728049488</v>
      </c>
    </row>
    <row r="87" spans="1:18" x14ac:dyDescent="0.2">
      <c r="A87" s="27" t="str">
        <f t="shared" si="10"/>
        <v>Mainpower New Zealand Limited</v>
      </c>
      <c r="B87" s="27" t="str">
        <f t="shared" si="10"/>
        <v>MPOW</v>
      </c>
      <c r="C87" s="27" t="str">
        <f t="shared" si="10"/>
        <v>Lines Business</v>
      </c>
      <c r="D87" s="45">
        <f t="shared" si="11"/>
        <v>2.0837011717903352E-4</v>
      </c>
      <c r="E87" s="25">
        <f t="shared" si="12"/>
        <v>133694.55012636675</v>
      </c>
      <c r="F87" s="69">
        <f t="shared" si="20"/>
        <v>54.532348720038577</v>
      </c>
      <c r="G87" s="25">
        <f t="shared" si="21"/>
        <v>7290677.8294597091</v>
      </c>
      <c r="I87" s="45">
        <f t="shared" si="13"/>
        <v>2.0315966563331906E-4</v>
      </c>
      <c r="J87" s="25">
        <f t="shared" si="14"/>
        <v>133694.55012636675</v>
      </c>
      <c r="K87" s="69">
        <f t="shared" si="22"/>
        <v>54.532348720038577</v>
      </c>
      <c r="L87" s="25">
        <f t="shared" si="15"/>
        <v>7290677.8294597091</v>
      </c>
      <c r="O87" s="83">
        <f t="shared" si="16"/>
        <v>1</v>
      </c>
      <c r="P87" s="25">
        <f t="shared" si="17"/>
        <v>133694.55012636675</v>
      </c>
      <c r="Q87" s="60">
        <f t="shared" si="18"/>
        <v>54.53234872003857</v>
      </c>
      <c r="R87" s="25">
        <f t="shared" si="19"/>
        <v>7290677.8294597082</v>
      </c>
    </row>
    <row r="88" spans="1:18" x14ac:dyDescent="0.2">
      <c r="A88" s="27" t="str">
        <f t="shared" si="10"/>
        <v>Manawa Energy Ltd</v>
      </c>
      <c r="B88" s="27" t="str">
        <f t="shared" si="10"/>
        <v>TRUG</v>
      </c>
      <c r="C88" s="27" t="str">
        <f t="shared" si="10"/>
        <v>Generator</v>
      </c>
      <c r="D88" s="45">
        <f t="shared" si="11"/>
        <v>5.303595743868357E-3</v>
      </c>
      <c r="E88" s="25">
        <f t="shared" si="12"/>
        <v>594.66598784988241</v>
      </c>
      <c r="F88" s="69">
        <f t="shared" si="20"/>
        <v>54.532348720038577</v>
      </c>
      <c r="G88" s="25">
        <f t="shared" si="21"/>
        <v>32428.53302137601</v>
      </c>
      <c r="I88" s="45">
        <f t="shared" si="13"/>
        <v>2.0315966563331906E-4</v>
      </c>
      <c r="J88" s="25">
        <f t="shared" si="14"/>
        <v>594.66598784988241</v>
      </c>
      <c r="K88" s="69">
        <f t="shared" si="22"/>
        <v>54.532348720038577</v>
      </c>
      <c r="L88" s="25">
        <f t="shared" si="15"/>
        <v>32428.53302137601</v>
      </c>
      <c r="O88" s="83">
        <f t="shared" si="16"/>
        <v>1</v>
      </c>
      <c r="P88" s="25">
        <f t="shared" si="17"/>
        <v>594.66598784988241</v>
      </c>
      <c r="Q88" s="60">
        <f t="shared" si="18"/>
        <v>54.53234872003857</v>
      </c>
      <c r="R88" s="25">
        <f t="shared" si="19"/>
        <v>32428.533021376006</v>
      </c>
    </row>
    <row r="89" spans="1:18" x14ac:dyDescent="0.2">
      <c r="A89" s="27" t="str">
        <f t="shared" si="10"/>
        <v>Marlborough Lines Limited</v>
      </c>
      <c r="B89" s="27" t="str">
        <f t="shared" si="10"/>
        <v>MARL</v>
      </c>
      <c r="C89" s="27" t="str">
        <f t="shared" si="10"/>
        <v>Lines Business</v>
      </c>
      <c r="D89" s="45">
        <f t="shared" si="11"/>
        <v>1.8312391310150076E-4</v>
      </c>
      <c r="E89" s="25">
        <f t="shared" si="12"/>
        <v>73571.074163261714</v>
      </c>
      <c r="F89" s="69">
        <f t="shared" si="20"/>
        <v>54.532348720038577</v>
      </c>
      <c r="G89" s="25">
        <f t="shared" si="21"/>
        <v>4012003.4719788083</v>
      </c>
      <c r="I89" s="45">
        <f t="shared" si="13"/>
        <v>2.0315966563331906E-4</v>
      </c>
      <c r="J89" s="25">
        <f t="shared" si="14"/>
        <v>73571.074163261714</v>
      </c>
      <c r="K89" s="69">
        <f t="shared" si="22"/>
        <v>54.532348720038577</v>
      </c>
      <c r="L89" s="25">
        <f t="shared" si="15"/>
        <v>4012003.4719788083</v>
      </c>
      <c r="O89" s="83">
        <f t="shared" si="16"/>
        <v>1</v>
      </c>
      <c r="P89" s="25">
        <f t="shared" si="17"/>
        <v>73571.074163261714</v>
      </c>
      <c r="Q89" s="60">
        <f t="shared" si="18"/>
        <v>54.53234872003857</v>
      </c>
      <c r="R89" s="25">
        <f t="shared" si="19"/>
        <v>4012003.4719788078</v>
      </c>
    </row>
    <row r="90" spans="1:18" x14ac:dyDescent="0.2">
      <c r="A90" s="27" t="str">
        <f t="shared" si="10"/>
        <v>MEL (Te Apiti) Limited</v>
      </c>
      <c r="B90" s="27" t="str">
        <f t="shared" si="10"/>
        <v>MELT</v>
      </c>
      <c r="C90" s="27" t="str">
        <f t="shared" si="10"/>
        <v>Generator</v>
      </c>
      <c r="D90" s="45">
        <f t="shared" si="11"/>
        <v>1.7109591609007499E-3</v>
      </c>
      <c r="E90" s="25">
        <f t="shared" si="12"/>
        <v>947.45817850165793</v>
      </c>
      <c r="F90" s="69">
        <f t="shared" si="20"/>
        <v>54.532348720038577</v>
      </c>
      <c r="G90" s="25">
        <f t="shared" si="21"/>
        <v>51667.119787704971</v>
      </c>
      <c r="I90" s="45">
        <f t="shared" si="13"/>
        <v>2.0315966563331906E-4</v>
      </c>
      <c r="J90" s="25">
        <f t="shared" si="14"/>
        <v>947.45817850165793</v>
      </c>
      <c r="K90" s="69">
        <f t="shared" si="22"/>
        <v>54.532348720038577</v>
      </c>
      <c r="L90" s="25">
        <f t="shared" si="15"/>
        <v>51667.119787704971</v>
      </c>
      <c r="O90" s="83">
        <f t="shared" si="16"/>
        <v>1</v>
      </c>
      <c r="P90" s="25">
        <f t="shared" si="17"/>
        <v>947.45817850165793</v>
      </c>
      <c r="Q90" s="60">
        <f t="shared" si="18"/>
        <v>54.53234872003857</v>
      </c>
      <c r="R90" s="25">
        <f t="shared" si="19"/>
        <v>51667.119787704964</v>
      </c>
    </row>
    <row r="91" spans="1:18" x14ac:dyDescent="0.2">
      <c r="A91" s="27" t="str">
        <f t="shared" si="10"/>
        <v>MEL (West Wind) Limited</v>
      </c>
      <c r="B91" s="27" t="str">
        <f t="shared" si="10"/>
        <v>MELW</v>
      </c>
      <c r="C91" s="27" t="str">
        <f t="shared" si="10"/>
        <v>Generator</v>
      </c>
      <c r="D91" s="45">
        <f t="shared" si="11"/>
        <v>1.7054146314331685E-3</v>
      </c>
      <c r="E91" s="25">
        <f t="shared" si="12"/>
        <v>1172.1685689522503</v>
      </c>
      <c r="F91" s="69">
        <f t="shared" si="20"/>
        <v>54.532348720038577</v>
      </c>
      <c r="G91" s="25">
        <f t="shared" si="21"/>
        <v>63921.105160772699</v>
      </c>
      <c r="I91" s="45">
        <f t="shared" si="13"/>
        <v>2.0315966563331906E-4</v>
      </c>
      <c r="J91" s="25">
        <f t="shared" si="14"/>
        <v>1172.1685689522503</v>
      </c>
      <c r="K91" s="69">
        <f t="shared" si="22"/>
        <v>54.532348720038577</v>
      </c>
      <c r="L91" s="25">
        <f t="shared" si="15"/>
        <v>63921.105160772699</v>
      </c>
      <c r="O91" s="83">
        <f t="shared" si="16"/>
        <v>1</v>
      </c>
      <c r="P91" s="25">
        <f t="shared" si="17"/>
        <v>1172.1685689522503</v>
      </c>
      <c r="Q91" s="60">
        <f t="shared" si="18"/>
        <v>54.53234872003857</v>
      </c>
      <c r="R91" s="25">
        <f t="shared" si="19"/>
        <v>63921.105160772691</v>
      </c>
    </row>
    <row r="92" spans="1:18" x14ac:dyDescent="0.2">
      <c r="A92" s="27" t="str">
        <f t="shared" ref="A92:C111" si="23">A27</f>
        <v>Mercury NZ Limited</v>
      </c>
      <c r="B92" s="27" t="str">
        <f t="shared" si="23"/>
        <v>MRPL</v>
      </c>
      <c r="C92" s="27" t="str">
        <f t="shared" si="23"/>
        <v>Generator</v>
      </c>
      <c r="D92" s="45">
        <f t="shared" si="11"/>
        <v>4.3480935646597439E-4</v>
      </c>
      <c r="E92" s="25">
        <f t="shared" si="12"/>
        <v>32624.263617048135</v>
      </c>
      <c r="F92" s="69">
        <f t="shared" si="20"/>
        <v>54.532348720038577</v>
      </c>
      <c r="G92" s="25">
        <f t="shared" si="21"/>
        <v>1779077.7202993359</v>
      </c>
      <c r="I92" s="45">
        <f t="shared" si="13"/>
        <v>2.0315966563331906E-4</v>
      </c>
      <c r="J92" s="25">
        <f t="shared" si="14"/>
        <v>32624.263617048135</v>
      </c>
      <c r="K92" s="69">
        <f t="shared" si="22"/>
        <v>54.532348720038577</v>
      </c>
      <c r="L92" s="25">
        <f t="shared" si="15"/>
        <v>1779077.7202993359</v>
      </c>
      <c r="O92" s="83">
        <f t="shared" si="16"/>
        <v>1</v>
      </c>
      <c r="P92" s="25">
        <f t="shared" si="17"/>
        <v>32624.263617048135</v>
      </c>
      <c r="Q92" s="60">
        <f t="shared" si="18"/>
        <v>54.53234872003857</v>
      </c>
      <c r="R92" s="25">
        <f t="shared" si="19"/>
        <v>1779077.7202993357</v>
      </c>
    </row>
    <row r="93" spans="1:18" x14ac:dyDescent="0.2">
      <c r="A93" s="27" t="str">
        <f t="shared" si="23"/>
        <v>Mercury SPV Limited</v>
      </c>
      <c r="B93" s="27" t="str">
        <f t="shared" si="23"/>
        <v>MSVP</v>
      </c>
      <c r="C93" s="27" t="str">
        <f t="shared" si="23"/>
        <v>Generator</v>
      </c>
      <c r="D93" s="45" t="str">
        <f t="shared" si="11"/>
        <v/>
      </c>
      <c r="E93" s="25" t="str">
        <f t="shared" si="12"/>
        <v/>
      </c>
      <c r="F93" s="69">
        <f t="shared" si="20"/>
        <v>54.532348720038577</v>
      </c>
      <c r="G93" s="25" t="str">
        <f t="shared" si="21"/>
        <v/>
      </c>
      <c r="I93" s="45">
        <f t="shared" si="13"/>
        <v>2.0315966563331906E-4</v>
      </c>
      <c r="J93" s="25">
        <f t="shared" si="14"/>
        <v>0</v>
      </c>
      <c r="K93" s="69">
        <f t="shared" si="22"/>
        <v>54.532348720038577</v>
      </c>
      <c r="L93" s="25">
        <f t="shared" si="15"/>
        <v>0</v>
      </c>
      <c r="O93" s="83" t="str">
        <f t="shared" si="16"/>
        <v/>
      </c>
      <c r="P93" s="25">
        <f t="shared" si="17"/>
        <v>0</v>
      </c>
      <c r="Q93" s="60">
        <f t="shared" si="18"/>
        <v>54.53234872003857</v>
      </c>
      <c r="R93" s="25">
        <f t="shared" si="19"/>
        <v>0</v>
      </c>
    </row>
    <row r="94" spans="1:18" x14ac:dyDescent="0.2">
      <c r="A94" s="27" t="str">
        <f t="shared" si="23"/>
        <v>Meridian Energy Limited</v>
      </c>
      <c r="B94" s="27" t="str">
        <f t="shared" si="23"/>
        <v>MERI</v>
      </c>
      <c r="C94" s="27" t="str">
        <f t="shared" si="23"/>
        <v>Generator</v>
      </c>
      <c r="D94" s="45">
        <f t="shared" si="11"/>
        <v>2.838267705160092E-3</v>
      </c>
      <c r="E94" s="25">
        <f t="shared" si="12"/>
        <v>25919.91804381608</v>
      </c>
      <c r="F94" s="69">
        <f t="shared" si="20"/>
        <v>54.532348720038577</v>
      </c>
      <c r="G94" s="25">
        <f t="shared" si="21"/>
        <v>1413474.0095601985</v>
      </c>
      <c r="I94" s="45">
        <f t="shared" si="13"/>
        <v>2.0315966563331906E-4</v>
      </c>
      <c r="J94" s="25">
        <f t="shared" si="14"/>
        <v>25919.91804381608</v>
      </c>
      <c r="K94" s="69">
        <f t="shared" si="22"/>
        <v>54.532348720038577</v>
      </c>
      <c r="L94" s="25">
        <f t="shared" si="15"/>
        <v>1413474.0095601985</v>
      </c>
      <c r="O94" s="83">
        <f t="shared" si="16"/>
        <v>1</v>
      </c>
      <c r="P94" s="25">
        <f t="shared" si="17"/>
        <v>25919.91804381608</v>
      </c>
      <c r="Q94" s="60">
        <f t="shared" si="18"/>
        <v>54.53234872003857</v>
      </c>
      <c r="R94" s="25">
        <f t="shared" si="19"/>
        <v>1413474.0095601985</v>
      </c>
    </row>
    <row r="95" spans="1:18" x14ac:dyDescent="0.2">
      <c r="A95" s="27" t="str">
        <f t="shared" si="23"/>
        <v>Methanex New Zealand Ltd</v>
      </c>
      <c r="B95" s="27" t="str">
        <f t="shared" si="23"/>
        <v>METH</v>
      </c>
      <c r="C95" s="27" t="str">
        <f t="shared" si="23"/>
        <v>Direct Connect</v>
      </c>
      <c r="D95" s="45">
        <f t="shared" si="11"/>
        <v>1.8212154873467986E-4</v>
      </c>
      <c r="E95" s="25">
        <f t="shared" si="12"/>
        <v>9097.3828759627377</v>
      </c>
      <c r="F95" s="69">
        <f t="shared" si="20"/>
        <v>54.532348720038577</v>
      </c>
      <c r="G95" s="25">
        <f t="shared" si="21"/>
        <v>496101.65543170745</v>
      </c>
      <c r="I95" s="45">
        <f t="shared" si="13"/>
        <v>2.0315966563331906E-4</v>
      </c>
      <c r="J95" s="25">
        <f t="shared" si="14"/>
        <v>9097.3828759627377</v>
      </c>
      <c r="K95" s="69">
        <f t="shared" si="22"/>
        <v>54.532348720038577</v>
      </c>
      <c r="L95" s="25">
        <f t="shared" si="15"/>
        <v>496101.65543170745</v>
      </c>
      <c r="O95" s="83">
        <f t="shared" si="16"/>
        <v>1</v>
      </c>
      <c r="P95" s="25">
        <f t="shared" si="17"/>
        <v>9097.3828759627377</v>
      </c>
      <c r="Q95" s="60">
        <f t="shared" si="18"/>
        <v>54.53234872003857</v>
      </c>
      <c r="R95" s="25">
        <f t="shared" si="19"/>
        <v>496101.65543170739</v>
      </c>
    </row>
    <row r="96" spans="1:18" x14ac:dyDescent="0.2">
      <c r="A96" s="27" t="str">
        <f t="shared" si="23"/>
        <v>Nelson Electricity Ltd</v>
      </c>
      <c r="B96" s="27" t="str">
        <f t="shared" si="23"/>
        <v>NELS</v>
      </c>
      <c r="C96" s="27" t="str">
        <f t="shared" si="23"/>
        <v>Lines Business</v>
      </c>
      <c r="D96" s="45">
        <f t="shared" si="11"/>
        <v>2.6858040500093977E-4</v>
      </c>
      <c r="E96" s="25">
        <f t="shared" si="12"/>
        <v>13985.082556978485</v>
      </c>
      <c r="F96" s="69">
        <f t="shared" si="20"/>
        <v>54.532348720038577</v>
      </c>
      <c r="G96" s="25">
        <f t="shared" si="21"/>
        <v>762639.39887567947</v>
      </c>
      <c r="I96" s="45">
        <f t="shared" si="13"/>
        <v>2.0315966563331906E-4</v>
      </c>
      <c r="J96" s="25">
        <f t="shared" si="14"/>
        <v>13985.082556978485</v>
      </c>
      <c r="K96" s="69">
        <f t="shared" si="22"/>
        <v>54.532348720038577</v>
      </c>
      <c r="L96" s="25">
        <f t="shared" si="15"/>
        <v>762639.39887567947</v>
      </c>
      <c r="O96" s="83">
        <f t="shared" si="16"/>
        <v>1</v>
      </c>
      <c r="P96" s="25">
        <f t="shared" si="17"/>
        <v>13985.082556978485</v>
      </c>
      <c r="Q96" s="60">
        <f t="shared" si="18"/>
        <v>54.53234872003857</v>
      </c>
      <c r="R96" s="25">
        <f t="shared" si="19"/>
        <v>762639.39887567936</v>
      </c>
    </row>
    <row r="97" spans="1:18" x14ac:dyDescent="0.2">
      <c r="A97" s="27" t="str">
        <f t="shared" si="23"/>
        <v>Network Tasman Limited</v>
      </c>
      <c r="B97" s="27" t="str">
        <f t="shared" si="23"/>
        <v>TASM</v>
      </c>
      <c r="C97" s="27" t="str">
        <f t="shared" si="23"/>
        <v>Lines Business</v>
      </c>
      <c r="D97" s="45">
        <f t="shared" si="11"/>
        <v>1.9541713780241168E-4</v>
      </c>
      <c r="E97" s="25">
        <f t="shared" si="12"/>
        <v>146735.12206666113</v>
      </c>
      <c r="F97" s="69">
        <f t="shared" si="20"/>
        <v>54.532348720038577</v>
      </c>
      <c r="G97" s="25">
        <f t="shared" si="21"/>
        <v>8001810.8460165923</v>
      </c>
      <c r="I97" s="45">
        <f t="shared" si="13"/>
        <v>2.0315966563331906E-4</v>
      </c>
      <c r="J97" s="25">
        <f t="shared" si="14"/>
        <v>146735.12206666113</v>
      </c>
      <c r="K97" s="69">
        <f t="shared" si="22"/>
        <v>54.532348720038577</v>
      </c>
      <c r="L97" s="25">
        <f t="shared" si="15"/>
        <v>8001810.8460165923</v>
      </c>
      <c r="O97" s="83">
        <f t="shared" si="16"/>
        <v>1</v>
      </c>
      <c r="P97" s="25">
        <f t="shared" si="17"/>
        <v>146735.12206666113</v>
      </c>
      <c r="Q97" s="60">
        <f t="shared" si="18"/>
        <v>54.53234872003857</v>
      </c>
      <c r="R97" s="25">
        <f t="shared" si="19"/>
        <v>8001810.8460165914</v>
      </c>
    </row>
    <row r="98" spans="1:18" x14ac:dyDescent="0.2">
      <c r="A98" s="27" t="str">
        <f t="shared" si="23"/>
        <v>Network Waitaki Limited</v>
      </c>
      <c r="B98" s="27" t="str">
        <f t="shared" si="23"/>
        <v>WATA</v>
      </c>
      <c r="C98" s="27" t="str">
        <f t="shared" si="23"/>
        <v>Lines Business</v>
      </c>
      <c r="D98" s="45">
        <f t="shared" si="11"/>
        <v>2.4274193888968021E-4</v>
      </c>
      <c r="E98" s="25">
        <f t="shared" si="12"/>
        <v>63713.974785909304</v>
      </c>
      <c r="F98" s="69">
        <f t="shared" si="20"/>
        <v>54.532348720038577</v>
      </c>
      <c r="G98" s="25">
        <f t="shared" si="21"/>
        <v>3474472.6913649514</v>
      </c>
      <c r="I98" s="45">
        <f t="shared" si="13"/>
        <v>2.0315966563331906E-4</v>
      </c>
      <c r="J98" s="25">
        <f t="shared" si="14"/>
        <v>63713.974785909304</v>
      </c>
      <c r="K98" s="69">
        <f t="shared" si="22"/>
        <v>54.532348720038577</v>
      </c>
      <c r="L98" s="25">
        <f t="shared" si="15"/>
        <v>3474472.6913649514</v>
      </c>
      <c r="O98" s="83">
        <f t="shared" si="16"/>
        <v>1</v>
      </c>
      <c r="P98" s="25">
        <f t="shared" si="17"/>
        <v>63713.974785909304</v>
      </c>
      <c r="Q98" s="60">
        <f t="shared" si="18"/>
        <v>54.53234872003857</v>
      </c>
      <c r="R98" s="25">
        <f t="shared" si="19"/>
        <v>3474472.691364951</v>
      </c>
    </row>
    <row r="99" spans="1:18" x14ac:dyDescent="0.2">
      <c r="A99" s="27" t="str">
        <f t="shared" si="23"/>
        <v>New Zealand Steel Limited</v>
      </c>
      <c r="B99" s="27" t="str">
        <f t="shared" si="23"/>
        <v>NZST</v>
      </c>
      <c r="C99" s="27" t="str">
        <f t="shared" si="23"/>
        <v>Direct Connect</v>
      </c>
      <c r="D99" s="45">
        <f t="shared" si="11"/>
        <v>1.4662189816879397E-4</v>
      </c>
      <c r="E99" s="25">
        <f t="shared" si="12"/>
        <v>158650.53629707327</v>
      </c>
      <c r="F99" s="69">
        <f t="shared" si="20"/>
        <v>54.532348720038577</v>
      </c>
      <c r="G99" s="25">
        <f t="shared" si="21"/>
        <v>8651586.369973138</v>
      </c>
      <c r="H99" s="46"/>
      <c r="I99" s="45">
        <f t="shared" si="13"/>
        <v>2.0315966563331906E-4</v>
      </c>
      <c r="J99" s="25">
        <f t="shared" si="14"/>
        <v>158650.53629707327</v>
      </c>
      <c r="K99" s="69">
        <f t="shared" si="22"/>
        <v>54.532348720038577</v>
      </c>
      <c r="L99" s="25">
        <f t="shared" si="15"/>
        <v>8651586.369973138</v>
      </c>
      <c r="O99" s="83">
        <f t="shared" si="16"/>
        <v>1</v>
      </c>
      <c r="P99" s="25">
        <f t="shared" si="17"/>
        <v>158650.53629707327</v>
      </c>
      <c r="Q99" s="60">
        <f t="shared" si="18"/>
        <v>54.53234872003857</v>
      </c>
      <c r="R99" s="25">
        <f t="shared" si="19"/>
        <v>8651586.3699731361</v>
      </c>
    </row>
    <row r="100" spans="1:18" x14ac:dyDescent="0.2">
      <c r="A100" s="27" t="str">
        <f t="shared" si="23"/>
        <v>Nga Awa Purua Joint Venture</v>
      </c>
      <c r="B100" s="27" t="str">
        <f t="shared" si="23"/>
        <v>NAPA</v>
      </c>
      <c r="C100" s="27" t="str">
        <f t="shared" si="23"/>
        <v>Generator</v>
      </c>
      <c r="D100" s="45">
        <f t="shared" si="11"/>
        <v>4.9684809079362867E-2</v>
      </c>
      <c r="E100" s="25">
        <f t="shared" si="12"/>
        <v>5269.1982148891302</v>
      </c>
      <c r="F100" s="69">
        <f t="shared" si="20"/>
        <v>54.532348720038577</v>
      </c>
      <c r="G100" s="25">
        <f t="shared" si="21"/>
        <v>287341.7545293388</v>
      </c>
      <c r="I100" s="45">
        <f t="shared" si="13"/>
        <v>2.0315966563331906E-4</v>
      </c>
      <c r="J100" s="25">
        <f t="shared" si="14"/>
        <v>5269.1982148891302</v>
      </c>
      <c r="K100" s="69">
        <f t="shared" si="22"/>
        <v>54.532348720038577</v>
      </c>
      <c r="L100" s="25">
        <f t="shared" si="15"/>
        <v>287341.7545293388</v>
      </c>
      <c r="O100" s="83">
        <f t="shared" si="16"/>
        <v>1</v>
      </c>
      <c r="P100" s="25">
        <f t="shared" si="17"/>
        <v>5269.1982148891302</v>
      </c>
      <c r="Q100" s="60">
        <f t="shared" si="18"/>
        <v>54.53234872003857</v>
      </c>
      <c r="R100" s="25">
        <f t="shared" si="19"/>
        <v>287341.7545293388</v>
      </c>
    </row>
    <row r="101" spans="1:18" x14ac:dyDescent="0.2">
      <c r="A101" s="27" t="str">
        <f t="shared" si="23"/>
        <v>Ngatamariki Geothermal Ltd</v>
      </c>
      <c r="B101" s="27" t="str">
        <f t="shared" si="23"/>
        <v>NTRG</v>
      </c>
      <c r="C101" s="27" t="str">
        <f t="shared" si="23"/>
        <v>Generator</v>
      </c>
      <c r="D101" s="45">
        <f t="shared" si="11"/>
        <v>0.2541552703555649</v>
      </c>
      <c r="E101" s="25">
        <f t="shared" si="12"/>
        <v>1604.1009888491478</v>
      </c>
      <c r="F101" s="69">
        <f t="shared" si="20"/>
        <v>54.532348720038577</v>
      </c>
      <c r="G101" s="25">
        <f t="shared" si="21"/>
        <v>87475.39450608044</v>
      </c>
      <c r="I101" s="45">
        <f t="shared" si="13"/>
        <v>2.0315966563331906E-4</v>
      </c>
      <c r="J101" s="25">
        <f t="shared" si="14"/>
        <v>1604.1009888491478</v>
      </c>
      <c r="K101" s="69">
        <f t="shared" si="22"/>
        <v>54.532348720038577</v>
      </c>
      <c r="L101" s="25">
        <f t="shared" si="15"/>
        <v>87475.39450608044</v>
      </c>
      <c r="O101" s="83">
        <f t="shared" si="16"/>
        <v>1</v>
      </c>
      <c r="P101" s="25">
        <f t="shared" si="17"/>
        <v>1604.1009888491478</v>
      </c>
      <c r="Q101" s="60">
        <f t="shared" si="18"/>
        <v>54.53234872003857</v>
      </c>
      <c r="R101" s="25">
        <f t="shared" si="19"/>
        <v>87475.394506080425</v>
      </c>
    </row>
    <row r="102" spans="1:18" x14ac:dyDescent="0.2">
      <c r="A102" s="27" t="str">
        <f t="shared" si="23"/>
        <v>Northpower Limited</v>
      </c>
      <c r="B102" s="27" t="str">
        <f t="shared" si="23"/>
        <v>NPOW</v>
      </c>
      <c r="C102" s="27" t="str">
        <f t="shared" si="23"/>
        <v>Lines Business</v>
      </c>
      <c r="D102" s="45">
        <f t="shared" si="11"/>
        <v>1.6392991012669248E-4</v>
      </c>
      <c r="E102" s="25">
        <f t="shared" si="12"/>
        <v>181183.41683885281</v>
      </c>
      <c r="F102" s="69">
        <f t="shared" si="20"/>
        <v>54.532348720038577</v>
      </c>
      <c r="G102" s="25">
        <f t="shared" si="21"/>
        <v>9880357.2693444304</v>
      </c>
      <c r="I102" s="45">
        <f t="shared" si="13"/>
        <v>2.0315966563331906E-4</v>
      </c>
      <c r="J102" s="25">
        <f t="shared" si="14"/>
        <v>181183.41683885281</v>
      </c>
      <c r="K102" s="69">
        <f t="shared" si="22"/>
        <v>54.532348720038577</v>
      </c>
      <c r="L102" s="25">
        <f t="shared" si="15"/>
        <v>9880357.2693444304</v>
      </c>
      <c r="O102" s="83">
        <f t="shared" si="16"/>
        <v>1</v>
      </c>
      <c r="P102" s="25">
        <f t="shared" si="17"/>
        <v>181183.41683885281</v>
      </c>
      <c r="Q102" s="60">
        <f t="shared" si="18"/>
        <v>54.53234872003857</v>
      </c>
      <c r="R102" s="25">
        <f t="shared" si="19"/>
        <v>9880357.2693444286</v>
      </c>
    </row>
    <row r="103" spans="1:18" x14ac:dyDescent="0.2">
      <c r="A103" s="27" t="str">
        <f t="shared" si="23"/>
        <v>Nova Energy Limited</v>
      </c>
      <c r="B103" s="27" t="str">
        <f t="shared" si="23"/>
        <v>TBOP</v>
      </c>
      <c r="C103" s="27" t="str">
        <f t="shared" si="23"/>
        <v>Generator</v>
      </c>
      <c r="D103" s="45">
        <f t="shared" si="11"/>
        <v>1.6919979081162428E-4</v>
      </c>
      <c r="E103" s="25">
        <f t="shared" si="12"/>
        <v>8136.5594275996527</v>
      </c>
      <c r="F103" s="69">
        <f t="shared" si="20"/>
        <v>54.532348720038577</v>
      </c>
      <c r="G103" s="25">
        <f t="shared" si="21"/>
        <v>443705.69608718174</v>
      </c>
      <c r="I103" s="45">
        <f t="shared" si="13"/>
        <v>2.0315966563331906E-4</v>
      </c>
      <c r="J103" s="25">
        <f t="shared" si="14"/>
        <v>8136.5594275996527</v>
      </c>
      <c r="K103" s="69">
        <f t="shared" si="22"/>
        <v>54.532348720038577</v>
      </c>
      <c r="L103" s="25">
        <f t="shared" si="15"/>
        <v>443705.69608718174</v>
      </c>
      <c r="O103" s="83">
        <f t="shared" si="16"/>
        <v>1</v>
      </c>
      <c r="P103" s="25">
        <f t="shared" si="17"/>
        <v>8136.5594275996527</v>
      </c>
      <c r="Q103" s="60">
        <f t="shared" si="18"/>
        <v>54.53234872003857</v>
      </c>
      <c r="R103" s="25">
        <f t="shared" si="19"/>
        <v>443705.69608718168</v>
      </c>
    </row>
    <row r="104" spans="1:18" x14ac:dyDescent="0.2">
      <c r="A104" s="27" t="str">
        <f t="shared" si="23"/>
        <v>NZ Aluminium Smelters Limited</v>
      </c>
      <c r="B104" s="27" t="str">
        <f t="shared" si="23"/>
        <v>NZAS</v>
      </c>
      <c r="C104" s="27" t="str">
        <f t="shared" si="23"/>
        <v>Direct Connect</v>
      </c>
      <c r="D104" s="45">
        <f t="shared" si="11"/>
        <v>1.1651354331188458E-4</v>
      </c>
      <c r="E104" s="25">
        <f t="shared" si="12"/>
        <v>590088.20641807234</v>
      </c>
      <c r="F104" s="69">
        <f t="shared" si="20"/>
        <v>54.532348720038577</v>
      </c>
      <c r="G104" s="25">
        <f t="shared" si="21"/>
        <v>32178895.847972427</v>
      </c>
      <c r="I104" s="45">
        <f t="shared" si="13"/>
        <v>2.0315966563331906E-4</v>
      </c>
      <c r="J104" s="25">
        <f t="shared" si="14"/>
        <v>590088.20641807234</v>
      </c>
      <c r="K104" s="69">
        <f t="shared" si="22"/>
        <v>54.532348720038577</v>
      </c>
      <c r="L104" s="25">
        <f t="shared" si="15"/>
        <v>32178895.847972427</v>
      </c>
      <c r="O104" s="83">
        <f t="shared" si="16"/>
        <v>1</v>
      </c>
      <c r="P104" s="25">
        <f t="shared" si="17"/>
        <v>590088.20641807234</v>
      </c>
      <c r="Q104" s="60">
        <f t="shared" si="18"/>
        <v>54.53234872003857</v>
      </c>
      <c r="R104" s="25">
        <f t="shared" si="19"/>
        <v>32178895.847972423</v>
      </c>
    </row>
    <row r="105" spans="1:18" x14ac:dyDescent="0.2">
      <c r="A105" s="27" t="str">
        <f t="shared" si="23"/>
        <v>OMV New Zealand Limited</v>
      </c>
      <c r="B105" s="27" t="str">
        <f t="shared" si="23"/>
        <v>OMVP</v>
      </c>
      <c r="C105" s="27" t="str">
        <f t="shared" si="23"/>
        <v>Direct Connect</v>
      </c>
      <c r="D105" s="45"/>
      <c r="E105" s="25"/>
      <c r="F105" s="69"/>
      <c r="G105" s="25"/>
      <c r="I105" s="45"/>
      <c r="J105" s="25"/>
      <c r="K105" s="69"/>
      <c r="L105" s="25"/>
      <c r="O105" s="83"/>
      <c r="P105" s="25"/>
      <c r="Q105" s="60"/>
      <c r="R105" s="25"/>
    </row>
    <row r="106" spans="1:18" x14ac:dyDescent="0.2">
      <c r="A106" s="27" t="str">
        <f t="shared" si="23"/>
        <v>Orion New Zealand Limited</v>
      </c>
      <c r="B106" s="27" t="str">
        <f t="shared" si="23"/>
        <v>ORON</v>
      </c>
      <c r="C106" s="27" t="str">
        <f t="shared" si="23"/>
        <v>Lines Business</v>
      </c>
      <c r="D106" s="45">
        <f t="shared" ref="D106:D122" si="24">IFERROR(D41/E41,"")</f>
        <v>2.2839945039147965E-4</v>
      </c>
      <c r="E106" s="25">
        <f t="shared" ref="E106:E122" si="25">IFERROR($D41+($F41-$E41)*$D106,"")</f>
        <v>753103.09838564193</v>
      </c>
      <c r="F106" s="69">
        <f t="shared" si="20"/>
        <v>54.532348720038577</v>
      </c>
      <c r="G106" s="25">
        <f t="shared" si="21"/>
        <v>41068480.783307344</v>
      </c>
      <c r="I106" s="45">
        <f t="shared" ref="I106:I122" si="26">$I$68</f>
        <v>2.0315966563331906E-4</v>
      </c>
      <c r="J106" s="25">
        <f t="shared" ref="J106:J122" si="27">IFERROR($D41+($F41-$E41)*$I106,"")</f>
        <v>753103.09838564193</v>
      </c>
      <c r="K106" s="69">
        <f t="shared" si="22"/>
        <v>54.532348720038577</v>
      </c>
      <c r="L106" s="25">
        <f t="shared" ref="L106:L122" si="28">K106*J106</f>
        <v>41068480.783307344</v>
      </c>
      <c r="O106" s="83">
        <f t="shared" ref="O106:O122" si="29">IFERROR(F41/E41,"")</f>
        <v>1</v>
      </c>
      <c r="P106" s="25">
        <f t="shared" ref="P106:P122" si="30">IF(O106&lt;1,E106,J106)</f>
        <v>753103.09838564193</v>
      </c>
      <c r="Q106" s="60">
        <f t="shared" ref="Q106:Q122" si="31">$Q$69</f>
        <v>54.53234872003857</v>
      </c>
      <c r="R106" s="25">
        <f t="shared" ref="R106:R122" si="32">IF(O106&lt;1,E106*Q106,J106*Q106)</f>
        <v>41068480.783307344</v>
      </c>
    </row>
    <row r="107" spans="1:18" x14ac:dyDescent="0.2">
      <c r="A107" s="27" t="str">
        <f t="shared" si="23"/>
        <v>Pan Pac Forest Product Limited</v>
      </c>
      <c r="B107" s="27" t="str">
        <f t="shared" si="23"/>
        <v>PANP</v>
      </c>
      <c r="C107" s="27" t="str">
        <f t="shared" si="23"/>
        <v>Direct Connect</v>
      </c>
      <c r="D107" s="45">
        <f t="shared" si="24"/>
        <v>1.5146619947739855E-4</v>
      </c>
      <c r="E107" s="25">
        <f t="shared" si="25"/>
        <v>77722.941824362075</v>
      </c>
      <c r="F107" s="69">
        <f t="shared" si="20"/>
        <v>54.532348720038577</v>
      </c>
      <c r="G107" s="25">
        <f t="shared" si="21"/>
        <v>4238414.5671133837</v>
      </c>
      <c r="I107" s="45">
        <f t="shared" si="26"/>
        <v>2.0315966563331906E-4</v>
      </c>
      <c r="J107" s="25">
        <f t="shared" si="27"/>
        <v>77722.941824362075</v>
      </c>
      <c r="K107" s="69">
        <f t="shared" si="22"/>
        <v>54.532348720038577</v>
      </c>
      <c r="L107" s="25">
        <f t="shared" si="28"/>
        <v>4238414.5671133837</v>
      </c>
      <c r="O107" s="83">
        <f t="shared" si="29"/>
        <v>1</v>
      </c>
      <c r="P107" s="25">
        <f t="shared" si="30"/>
        <v>77722.941824362075</v>
      </c>
      <c r="Q107" s="60">
        <f t="shared" si="31"/>
        <v>54.53234872003857</v>
      </c>
      <c r="R107" s="25">
        <f t="shared" si="32"/>
        <v>4238414.5671133837</v>
      </c>
    </row>
    <row r="108" spans="1:18" x14ac:dyDescent="0.2">
      <c r="A108" s="27" t="str">
        <f t="shared" si="23"/>
        <v>Powerco Limited</v>
      </c>
      <c r="B108" s="27" t="str">
        <f t="shared" si="23"/>
        <v>POCO</v>
      </c>
      <c r="C108" s="27" t="str">
        <f t="shared" si="23"/>
        <v>Lines Business</v>
      </c>
      <c r="D108" s="45">
        <f t="shared" si="24"/>
        <v>2.0368985763027084E-4</v>
      </c>
      <c r="E108" s="25">
        <f t="shared" si="25"/>
        <v>1039696.5156458596</v>
      </c>
      <c r="F108" s="69">
        <f t="shared" si="20"/>
        <v>54.532348720038577</v>
      </c>
      <c r="G108" s="25">
        <f t="shared" si="21"/>
        <v>56697092.954209059</v>
      </c>
      <c r="I108" s="45">
        <f t="shared" si="26"/>
        <v>2.0315966563331906E-4</v>
      </c>
      <c r="J108" s="25">
        <f t="shared" si="27"/>
        <v>1039696.5156458596</v>
      </c>
      <c r="K108" s="69">
        <f t="shared" si="22"/>
        <v>54.532348720038577</v>
      </c>
      <c r="L108" s="25">
        <f t="shared" si="28"/>
        <v>56697092.954209059</v>
      </c>
      <c r="O108" s="83">
        <f t="shared" si="29"/>
        <v>1</v>
      </c>
      <c r="P108" s="25">
        <f t="shared" si="30"/>
        <v>1039696.5156458596</v>
      </c>
      <c r="Q108" s="60">
        <f t="shared" si="31"/>
        <v>54.53234872003857</v>
      </c>
      <c r="R108" s="25">
        <f t="shared" si="32"/>
        <v>56697092.954209052</v>
      </c>
    </row>
    <row r="109" spans="1:18" x14ac:dyDescent="0.2">
      <c r="A109" s="27" t="str">
        <f t="shared" si="23"/>
        <v>Powernet Ltd</v>
      </c>
      <c r="B109" s="27" t="str">
        <f t="shared" si="23"/>
        <v>POWN</v>
      </c>
      <c r="C109" s="27" t="str">
        <f t="shared" si="23"/>
        <v>Lines Business</v>
      </c>
      <c r="D109" s="45">
        <f t="shared" si="24"/>
        <v>1.8920117885578566E-4</v>
      </c>
      <c r="E109" s="25">
        <f t="shared" si="25"/>
        <v>281388.86864575557</v>
      </c>
      <c r="F109" s="69">
        <f t="shared" si="20"/>
        <v>54.532348720038577</v>
      </c>
      <c r="G109" s="25">
        <f t="shared" si="21"/>
        <v>15344795.910927473</v>
      </c>
      <c r="I109" s="45">
        <f t="shared" si="26"/>
        <v>2.0315966563331906E-4</v>
      </c>
      <c r="J109" s="25">
        <f t="shared" si="27"/>
        <v>281388.86864575557</v>
      </c>
      <c r="K109" s="69">
        <f t="shared" si="22"/>
        <v>54.532348720038577</v>
      </c>
      <c r="L109" s="25">
        <f t="shared" si="28"/>
        <v>15344795.910927473</v>
      </c>
      <c r="O109" s="83">
        <f t="shared" si="29"/>
        <v>1</v>
      </c>
      <c r="P109" s="25">
        <f t="shared" si="30"/>
        <v>281388.86864575557</v>
      </c>
      <c r="Q109" s="60">
        <f t="shared" si="31"/>
        <v>54.53234872003857</v>
      </c>
      <c r="R109" s="25">
        <f t="shared" si="32"/>
        <v>15344795.910927471</v>
      </c>
    </row>
    <row r="110" spans="1:18" x14ac:dyDescent="0.2">
      <c r="A110" s="27" t="str">
        <f t="shared" si="23"/>
        <v>Scanpower Limited</v>
      </c>
      <c r="B110" s="27" t="str">
        <f t="shared" si="23"/>
        <v>SCAN</v>
      </c>
      <c r="C110" s="27" t="str">
        <f t="shared" si="23"/>
        <v>Lines Business</v>
      </c>
      <c r="D110" s="45">
        <f t="shared" si="24"/>
        <v>1.8330497970427964E-4</v>
      </c>
      <c r="E110" s="25">
        <f t="shared" si="25"/>
        <v>15135.880246118526</v>
      </c>
      <c r="F110" s="69">
        <f t="shared" si="20"/>
        <v>54.532348720038577</v>
      </c>
      <c r="G110" s="25">
        <f t="shared" si="21"/>
        <v>825395.09976607875</v>
      </c>
      <c r="I110" s="45">
        <f t="shared" si="26"/>
        <v>2.0315966563331906E-4</v>
      </c>
      <c r="J110" s="25">
        <f t="shared" si="27"/>
        <v>15135.880246118526</v>
      </c>
      <c r="K110" s="69">
        <f t="shared" si="22"/>
        <v>54.532348720038577</v>
      </c>
      <c r="L110" s="25">
        <f t="shared" si="28"/>
        <v>825395.09976607875</v>
      </c>
      <c r="O110" s="83">
        <f t="shared" si="29"/>
        <v>1</v>
      </c>
      <c r="P110" s="25">
        <f t="shared" si="30"/>
        <v>15135.880246118526</v>
      </c>
      <c r="Q110" s="60">
        <f t="shared" si="31"/>
        <v>54.53234872003857</v>
      </c>
      <c r="R110" s="25">
        <f t="shared" si="32"/>
        <v>825395.09976607864</v>
      </c>
    </row>
    <row r="111" spans="1:18" x14ac:dyDescent="0.2">
      <c r="A111" s="27" t="str">
        <f t="shared" si="23"/>
        <v>Southpark Utilities Limited</v>
      </c>
      <c r="B111" s="27" t="str">
        <f t="shared" si="23"/>
        <v>SHPK</v>
      </c>
      <c r="C111" s="27" t="str">
        <f t="shared" si="23"/>
        <v>Direct Connect</v>
      </c>
      <c r="D111" s="45">
        <f t="shared" si="24"/>
        <v>3.7148325692961439E-4</v>
      </c>
      <c r="E111" s="25">
        <f t="shared" si="25"/>
        <v>171.3906571810225</v>
      </c>
      <c r="F111" s="69">
        <f t="shared" si="20"/>
        <v>54.532348720038577</v>
      </c>
      <c r="G111" s="25">
        <f t="shared" si="21"/>
        <v>9346.3350847521033</v>
      </c>
      <c r="I111" s="45">
        <f t="shared" si="26"/>
        <v>2.0315966563331906E-4</v>
      </c>
      <c r="J111" s="25">
        <f t="shared" si="27"/>
        <v>171.3906571810225</v>
      </c>
      <c r="K111" s="69">
        <f t="shared" si="22"/>
        <v>54.532348720038577</v>
      </c>
      <c r="L111" s="25">
        <f t="shared" si="28"/>
        <v>9346.3350847521033</v>
      </c>
      <c r="O111" s="83">
        <f t="shared" si="29"/>
        <v>1</v>
      </c>
      <c r="P111" s="25">
        <f t="shared" si="30"/>
        <v>171.3906571810225</v>
      </c>
      <c r="Q111" s="60">
        <f t="shared" si="31"/>
        <v>54.53234872003857</v>
      </c>
      <c r="R111" s="25">
        <f t="shared" si="32"/>
        <v>9346.3350847521015</v>
      </c>
    </row>
    <row r="112" spans="1:18" x14ac:dyDescent="0.2">
      <c r="A112" s="27" t="str">
        <f t="shared" ref="A112:C122" si="33">A47</f>
        <v>Tararua Wind Power</v>
      </c>
      <c r="B112" s="27" t="str">
        <f t="shared" si="33"/>
        <v>TARW</v>
      </c>
      <c r="C112" s="27" t="str">
        <f t="shared" si="33"/>
        <v>Generator</v>
      </c>
      <c r="D112" s="45">
        <f t="shared" si="24"/>
        <v>1.9423754601698973E-3</v>
      </c>
      <c r="E112" s="25">
        <f t="shared" si="25"/>
        <v>1106.7177013531639</v>
      </c>
      <c r="F112" s="69">
        <f t="shared" si="20"/>
        <v>54.532348720038577</v>
      </c>
      <c r="G112" s="25">
        <f t="shared" si="21"/>
        <v>60351.915624830239</v>
      </c>
      <c r="I112" s="45">
        <f t="shared" si="26"/>
        <v>2.0315966563331906E-4</v>
      </c>
      <c r="J112" s="25">
        <f t="shared" si="27"/>
        <v>1106.7177013531639</v>
      </c>
      <c r="K112" s="69">
        <f t="shared" si="22"/>
        <v>54.532348720038577</v>
      </c>
      <c r="L112" s="25">
        <f t="shared" si="28"/>
        <v>60351.915624830239</v>
      </c>
      <c r="O112" s="83">
        <f t="shared" si="29"/>
        <v>1</v>
      </c>
      <c r="P112" s="25">
        <f t="shared" si="30"/>
        <v>1106.7177013531639</v>
      </c>
      <c r="Q112" s="60">
        <f t="shared" si="31"/>
        <v>54.53234872003857</v>
      </c>
      <c r="R112" s="25">
        <f t="shared" si="32"/>
        <v>60351.915624830232</v>
      </c>
    </row>
    <row r="113" spans="1:18" x14ac:dyDescent="0.2">
      <c r="A113" s="27" t="str">
        <f t="shared" si="33"/>
        <v>The Lines Company Ltd</v>
      </c>
      <c r="B113" s="27" t="str">
        <f t="shared" si="33"/>
        <v>WTOM</v>
      </c>
      <c r="C113" s="27" t="str">
        <f t="shared" si="33"/>
        <v>Lines Business</v>
      </c>
      <c r="D113" s="45">
        <f t="shared" si="24"/>
        <v>2.3628986792157794E-4</v>
      </c>
      <c r="E113" s="25">
        <f t="shared" si="25"/>
        <v>77391.12728247937</v>
      </c>
      <c r="F113" s="69">
        <f t="shared" si="20"/>
        <v>54.532348720038577</v>
      </c>
      <c r="G113" s="25">
        <f t="shared" si="21"/>
        <v>4220319.9408050561</v>
      </c>
      <c r="I113" s="45">
        <f t="shared" si="26"/>
        <v>2.0315966563331906E-4</v>
      </c>
      <c r="J113" s="25">
        <f t="shared" si="27"/>
        <v>77391.12728247937</v>
      </c>
      <c r="K113" s="69">
        <f t="shared" si="22"/>
        <v>54.532348720038577</v>
      </c>
      <c r="L113" s="25">
        <f t="shared" si="28"/>
        <v>4220319.9408050561</v>
      </c>
      <c r="O113" s="83">
        <f t="shared" si="29"/>
        <v>1</v>
      </c>
      <c r="P113" s="25">
        <f t="shared" si="30"/>
        <v>77391.12728247937</v>
      </c>
      <c r="Q113" s="60">
        <f t="shared" si="31"/>
        <v>54.53234872003857</v>
      </c>
      <c r="R113" s="25">
        <f t="shared" si="32"/>
        <v>4220319.9408050561</v>
      </c>
    </row>
    <row r="114" spans="1:18" x14ac:dyDescent="0.2">
      <c r="A114" s="27" t="str">
        <f t="shared" si="33"/>
        <v>Top Energy Ltd</v>
      </c>
      <c r="B114" s="27" t="str">
        <f t="shared" si="33"/>
        <v>TOPE</v>
      </c>
      <c r="C114" s="27" t="str">
        <f t="shared" si="33"/>
        <v>Lines Business</v>
      </c>
      <c r="D114" s="45">
        <f t="shared" si="24"/>
        <v>1.9443074182328752E-4</v>
      </c>
      <c r="E114" s="25">
        <f t="shared" si="25"/>
        <v>69781.30983537891</v>
      </c>
      <c r="F114" s="69">
        <f t="shared" si="20"/>
        <v>54.532348720038577</v>
      </c>
      <c r="G114" s="25">
        <f t="shared" si="21"/>
        <v>3805338.7220839406</v>
      </c>
      <c r="I114" s="45">
        <f t="shared" si="26"/>
        <v>2.0315966563331906E-4</v>
      </c>
      <c r="J114" s="25">
        <f t="shared" si="27"/>
        <v>69781.30983537891</v>
      </c>
      <c r="K114" s="69">
        <f t="shared" si="22"/>
        <v>54.532348720038577</v>
      </c>
      <c r="L114" s="25">
        <f t="shared" si="28"/>
        <v>3805338.7220839406</v>
      </c>
      <c r="O114" s="83">
        <f t="shared" si="29"/>
        <v>1</v>
      </c>
      <c r="P114" s="25">
        <f t="shared" si="30"/>
        <v>69781.30983537891</v>
      </c>
      <c r="Q114" s="60">
        <f t="shared" si="31"/>
        <v>54.53234872003857</v>
      </c>
      <c r="R114" s="25">
        <f t="shared" si="32"/>
        <v>3805338.7220839402</v>
      </c>
    </row>
    <row r="115" spans="1:18" x14ac:dyDescent="0.2">
      <c r="A115" s="27" t="str">
        <f t="shared" si="33"/>
        <v>Unison Networks Limited</v>
      </c>
      <c r="B115" s="27" t="str">
        <f t="shared" si="33"/>
        <v>UNIS</v>
      </c>
      <c r="C115" s="27" t="str">
        <f t="shared" si="33"/>
        <v>Lines Business</v>
      </c>
      <c r="D115" s="45">
        <f t="shared" si="24"/>
        <v>2.1587890404445396E-4</v>
      </c>
      <c r="E115" s="25">
        <f t="shared" si="25"/>
        <v>363353.34220980719</v>
      </c>
      <c r="F115" s="69">
        <f t="shared" si="20"/>
        <v>54.532348720038577</v>
      </c>
      <c r="G115" s="25">
        <f t="shared" si="21"/>
        <v>19814511.165976718</v>
      </c>
      <c r="I115" s="45">
        <f t="shared" si="26"/>
        <v>2.0315966563331906E-4</v>
      </c>
      <c r="J115" s="25">
        <f t="shared" si="27"/>
        <v>363353.34220980719</v>
      </c>
      <c r="K115" s="69">
        <f t="shared" si="22"/>
        <v>54.532348720038577</v>
      </c>
      <c r="L115" s="25">
        <f t="shared" si="28"/>
        <v>19814511.165976718</v>
      </c>
      <c r="O115" s="83">
        <f t="shared" si="29"/>
        <v>1</v>
      </c>
      <c r="P115" s="25">
        <f t="shared" si="30"/>
        <v>363353.34220980719</v>
      </c>
      <c r="Q115" s="60">
        <f t="shared" si="31"/>
        <v>54.53234872003857</v>
      </c>
      <c r="R115" s="25">
        <f t="shared" si="32"/>
        <v>19814511.165976714</v>
      </c>
    </row>
    <row r="116" spans="1:18" x14ac:dyDescent="0.2">
      <c r="A116" s="27" t="str">
        <f t="shared" si="33"/>
        <v>Vector Limited</v>
      </c>
      <c r="B116" s="27" t="str">
        <f t="shared" si="33"/>
        <v>VECT</v>
      </c>
      <c r="C116" s="27" t="str">
        <f t="shared" si="33"/>
        <v>Lines Business</v>
      </c>
      <c r="D116" s="45">
        <f t="shared" si="24"/>
        <v>2.2838641623148013E-4</v>
      </c>
      <c r="E116" s="25">
        <f t="shared" si="25"/>
        <v>1989525.4872822496</v>
      </c>
      <c r="F116" s="69">
        <f t="shared" si="20"/>
        <v>54.532348720038577</v>
      </c>
      <c r="G116" s="25">
        <f t="shared" si="21"/>
        <v>108493497.65988031</v>
      </c>
      <c r="I116" s="45">
        <f t="shared" si="26"/>
        <v>2.0315966563331906E-4</v>
      </c>
      <c r="J116" s="25">
        <f t="shared" si="27"/>
        <v>1989525.4872822496</v>
      </c>
      <c r="K116" s="69">
        <f t="shared" si="22"/>
        <v>54.532348720038577</v>
      </c>
      <c r="L116" s="25">
        <f t="shared" si="28"/>
        <v>108493497.65988031</v>
      </c>
      <c r="O116" s="83">
        <f t="shared" si="29"/>
        <v>1</v>
      </c>
      <c r="P116" s="25">
        <f t="shared" si="30"/>
        <v>1989525.4872822496</v>
      </c>
      <c r="Q116" s="60">
        <f t="shared" si="31"/>
        <v>54.53234872003857</v>
      </c>
      <c r="R116" s="25">
        <f t="shared" si="32"/>
        <v>108493497.6598803</v>
      </c>
    </row>
    <row r="117" spans="1:18" x14ac:dyDescent="0.2">
      <c r="A117" s="27" t="str">
        <f t="shared" si="33"/>
        <v>Waipa Networks Limited</v>
      </c>
      <c r="B117" s="27" t="str">
        <f t="shared" si="33"/>
        <v>WAIP</v>
      </c>
      <c r="C117" s="27" t="str">
        <f t="shared" si="33"/>
        <v>Lines Business</v>
      </c>
      <c r="D117" s="45">
        <f t="shared" si="24"/>
        <v>1.8713447871187929E-4</v>
      </c>
      <c r="E117" s="25">
        <f t="shared" si="25"/>
        <v>75496.882018862598</v>
      </c>
      <c r="F117" s="69">
        <f t="shared" si="20"/>
        <v>54.532348720038577</v>
      </c>
      <c r="G117" s="25">
        <f t="shared" si="21"/>
        <v>4117022.2975282255</v>
      </c>
      <c r="I117" s="45">
        <f t="shared" si="26"/>
        <v>2.0315966563331906E-4</v>
      </c>
      <c r="J117" s="25">
        <f t="shared" si="27"/>
        <v>75496.882018862598</v>
      </c>
      <c r="K117" s="69">
        <f t="shared" si="22"/>
        <v>54.532348720038577</v>
      </c>
      <c r="L117" s="25">
        <f t="shared" si="28"/>
        <v>4117022.2975282255</v>
      </c>
      <c r="O117" s="83">
        <f t="shared" si="29"/>
        <v>1</v>
      </c>
      <c r="P117" s="25">
        <f t="shared" si="30"/>
        <v>75496.882018862598</v>
      </c>
      <c r="Q117" s="60">
        <f t="shared" si="31"/>
        <v>54.53234872003857</v>
      </c>
      <c r="R117" s="25">
        <f t="shared" si="32"/>
        <v>4117022.2975282245</v>
      </c>
    </row>
    <row r="118" spans="1:18" x14ac:dyDescent="0.2">
      <c r="A118" s="27" t="str">
        <f t="shared" si="33"/>
        <v>WEL Networks Limited</v>
      </c>
      <c r="B118" s="27" t="str">
        <f t="shared" si="33"/>
        <v>WELE</v>
      </c>
      <c r="C118" s="27" t="str">
        <f t="shared" si="33"/>
        <v>Lines Business</v>
      </c>
      <c r="D118" s="45">
        <f t="shared" si="24"/>
        <v>2.1453121857133506E-4</v>
      </c>
      <c r="E118" s="25">
        <f t="shared" si="25"/>
        <v>294534.91870618955</v>
      </c>
      <c r="F118" s="69">
        <f t="shared" si="20"/>
        <v>54.532348720038577</v>
      </c>
      <c r="G118" s="25">
        <f t="shared" si="21"/>
        <v>16061680.897114143</v>
      </c>
      <c r="I118" s="45">
        <f t="shared" si="26"/>
        <v>2.0315966563331906E-4</v>
      </c>
      <c r="J118" s="25">
        <f t="shared" si="27"/>
        <v>294534.91870618955</v>
      </c>
      <c r="K118" s="69">
        <f t="shared" si="22"/>
        <v>54.532348720038577</v>
      </c>
      <c r="L118" s="25">
        <f t="shared" si="28"/>
        <v>16061680.897114143</v>
      </c>
      <c r="O118" s="83">
        <f t="shared" si="29"/>
        <v>1</v>
      </c>
      <c r="P118" s="25">
        <f t="shared" si="30"/>
        <v>294534.91870618955</v>
      </c>
      <c r="Q118" s="60">
        <f t="shared" si="31"/>
        <v>54.53234872003857</v>
      </c>
      <c r="R118" s="25">
        <f t="shared" si="32"/>
        <v>16061680.897114139</v>
      </c>
    </row>
    <row r="119" spans="1:18" x14ac:dyDescent="0.2">
      <c r="A119" s="27" t="str">
        <f t="shared" si="33"/>
        <v>Wellington Electricity Lines Limited</v>
      </c>
      <c r="B119" s="27" t="str">
        <f t="shared" si="33"/>
        <v>UNET</v>
      </c>
      <c r="C119" s="27" t="str">
        <f t="shared" si="33"/>
        <v>Lines Business</v>
      </c>
      <c r="D119" s="45">
        <f t="shared" si="24"/>
        <v>2.3314704242518271E-4</v>
      </c>
      <c r="E119" s="25">
        <f t="shared" si="25"/>
        <v>567326.26667015301</v>
      </c>
      <c r="F119" s="69">
        <f t="shared" si="20"/>
        <v>54.532348720038577</v>
      </c>
      <c r="G119" s="25">
        <f t="shared" si="21"/>
        <v>30937633.812094383</v>
      </c>
      <c r="I119" s="45">
        <f t="shared" si="26"/>
        <v>2.0315966563331906E-4</v>
      </c>
      <c r="J119" s="25">
        <f t="shared" si="27"/>
        <v>567326.26667015301</v>
      </c>
      <c r="K119" s="69">
        <f t="shared" si="22"/>
        <v>54.532348720038577</v>
      </c>
      <c r="L119" s="25">
        <f t="shared" si="28"/>
        <v>30937633.812094383</v>
      </c>
      <c r="O119" s="83">
        <f t="shared" si="29"/>
        <v>1</v>
      </c>
      <c r="P119" s="25">
        <f t="shared" si="30"/>
        <v>567326.26667015301</v>
      </c>
      <c r="Q119" s="60">
        <f t="shared" si="31"/>
        <v>54.53234872003857</v>
      </c>
      <c r="R119" s="25">
        <f t="shared" si="32"/>
        <v>30937633.812094379</v>
      </c>
    </row>
    <row r="120" spans="1:18" x14ac:dyDescent="0.2">
      <c r="A120" s="27" t="str">
        <f t="shared" si="33"/>
        <v>Westpower Limited</v>
      </c>
      <c r="B120" s="27" t="str">
        <f t="shared" si="33"/>
        <v>WPOW</v>
      </c>
      <c r="C120" s="27" t="str">
        <f t="shared" si="33"/>
        <v>Lines Business</v>
      </c>
      <c r="D120" s="45">
        <f t="shared" si="24"/>
        <v>2.1120768815530643E-4</v>
      </c>
      <c r="E120" s="25">
        <f t="shared" si="25"/>
        <v>53379.873568187126</v>
      </c>
      <c r="F120" s="69">
        <f t="shared" si="20"/>
        <v>54.532348720038577</v>
      </c>
      <c r="G120" s="25">
        <f t="shared" si="21"/>
        <v>2910929.8800519505</v>
      </c>
      <c r="I120" s="45">
        <f t="shared" si="26"/>
        <v>2.0315966563331906E-4</v>
      </c>
      <c r="J120" s="25">
        <f t="shared" si="27"/>
        <v>53379.873568187126</v>
      </c>
      <c r="K120" s="69">
        <f t="shared" si="22"/>
        <v>54.532348720038577</v>
      </c>
      <c r="L120" s="25">
        <f t="shared" si="28"/>
        <v>2910929.8800519505</v>
      </c>
      <c r="O120" s="83">
        <f t="shared" si="29"/>
        <v>1</v>
      </c>
      <c r="P120" s="25">
        <f t="shared" si="30"/>
        <v>53379.873568187126</v>
      </c>
      <c r="Q120" s="60">
        <f t="shared" si="31"/>
        <v>54.53234872003857</v>
      </c>
      <c r="R120" s="25">
        <f t="shared" si="32"/>
        <v>2910929.88005195</v>
      </c>
    </row>
    <row r="121" spans="1:18" x14ac:dyDescent="0.2">
      <c r="A121" s="27" t="str">
        <f t="shared" si="33"/>
        <v>Whareroa Cogeneration Limited</v>
      </c>
      <c r="B121" s="27" t="str">
        <f t="shared" si="33"/>
        <v>KIWI</v>
      </c>
      <c r="C121" s="27" t="str">
        <f t="shared" si="33"/>
        <v>Direct Connect</v>
      </c>
      <c r="D121" s="45">
        <f t="shared" si="24"/>
        <v>1.8165706898815967E-4</v>
      </c>
      <c r="E121" s="25">
        <f t="shared" si="25"/>
        <v>28990.393522306949</v>
      </c>
      <c r="F121" s="69">
        <f t="shared" si="20"/>
        <v>54.532348720038577</v>
      </c>
      <c r="G121" s="25">
        <f t="shared" ref="G121" si="34">IFERROR(F121*E121,"")</f>
        <v>1580914.24908959</v>
      </c>
      <c r="I121" s="45">
        <f t="shared" si="26"/>
        <v>2.0315966563331906E-4</v>
      </c>
      <c r="J121" s="25">
        <f t="shared" si="27"/>
        <v>28990.393522306949</v>
      </c>
      <c r="K121" s="69">
        <f t="shared" si="22"/>
        <v>54.532348720038577</v>
      </c>
      <c r="L121" s="25">
        <f t="shared" si="28"/>
        <v>1580914.24908959</v>
      </c>
      <c r="O121" s="83">
        <f t="shared" si="29"/>
        <v>1</v>
      </c>
      <c r="P121" s="25">
        <f t="shared" si="30"/>
        <v>28990.393522306949</v>
      </c>
      <c r="Q121" s="60">
        <f t="shared" si="31"/>
        <v>54.53234872003857</v>
      </c>
      <c r="R121" s="25">
        <f t="shared" si="32"/>
        <v>1580914.2490895898</v>
      </c>
    </row>
    <row r="122" spans="1:18" x14ac:dyDescent="0.2">
      <c r="A122" s="27" t="str">
        <f t="shared" si="33"/>
        <v>Winstone Pulp International</v>
      </c>
      <c r="B122" s="27" t="str">
        <f t="shared" si="33"/>
        <v>WNST</v>
      </c>
      <c r="C122" s="27" t="str">
        <f t="shared" si="33"/>
        <v>Direct Connect</v>
      </c>
      <c r="D122" s="45">
        <f t="shared" si="24"/>
        <v>1.5133862505328744E-4</v>
      </c>
      <c r="E122" s="25">
        <f t="shared" si="25"/>
        <v>36397.540102123574</v>
      </c>
      <c r="F122" s="69">
        <f t="shared" si="20"/>
        <v>54.532348720038577</v>
      </c>
      <c r="G122" s="25">
        <f t="shared" si="21"/>
        <v>1984843.3494005913</v>
      </c>
      <c r="I122" s="45">
        <f t="shared" si="26"/>
        <v>2.0315966563331906E-4</v>
      </c>
      <c r="J122" s="25">
        <f t="shared" si="27"/>
        <v>36397.540102123574</v>
      </c>
      <c r="K122" s="69">
        <f t="shared" si="22"/>
        <v>54.532348720038577</v>
      </c>
      <c r="L122" s="25">
        <f t="shared" si="28"/>
        <v>1984843.3494005913</v>
      </c>
      <c r="O122" s="83">
        <f t="shared" si="29"/>
        <v>1</v>
      </c>
      <c r="P122" s="25">
        <f t="shared" si="30"/>
        <v>36397.540102123574</v>
      </c>
      <c r="Q122" s="60">
        <f t="shared" si="31"/>
        <v>54.53234872003857</v>
      </c>
      <c r="R122" s="25">
        <f t="shared" si="32"/>
        <v>1984843.3494005911</v>
      </c>
    </row>
    <row r="123" spans="1:18" x14ac:dyDescent="0.2">
      <c r="A123" s="27" t="str">
        <f t="shared" ref="A123:B125" si="35">A58</f>
        <v>Kawerau Geothermal Limited</v>
      </c>
      <c r="B123" s="27" t="str">
        <f t="shared" si="35"/>
        <v>KWGL</v>
      </c>
      <c r="C123" s="27" t="str">
        <f t="shared" ref="C123" si="36">C58</f>
        <v>Generator</v>
      </c>
      <c r="D123" s="27"/>
      <c r="E123" s="27"/>
      <c r="F123" s="27"/>
      <c r="G123" s="27"/>
      <c r="I123" s="27"/>
      <c r="J123" s="27"/>
      <c r="K123" s="27"/>
      <c r="L123" s="27"/>
      <c r="O123" s="118"/>
      <c r="P123" s="117"/>
      <c r="Q123" s="119"/>
      <c r="R123" s="117"/>
    </row>
    <row r="124" spans="1:18" x14ac:dyDescent="0.2">
      <c r="A124" s="27" t="str">
        <f t="shared" si="35"/>
        <v>Oji Fibre Solutions (NZ) Ltd</v>
      </c>
      <c r="B124" s="27" t="str">
        <f t="shared" si="35"/>
        <v>CHHE</v>
      </c>
      <c r="C124" s="27" t="str">
        <f t="shared" ref="C124" si="37">C59</f>
        <v>Direct Connect</v>
      </c>
      <c r="D124" s="27"/>
      <c r="E124" s="27"/>
      <c r="F124" s="27"/>
      <c r="G124" s="27"/>
      <c r="I124" s="27"/>
      <c r="J124" s="27"/>
      <c r="K124" s="27"/>
      <c r="L124" s="27"/>
      <c r="O124" s="27"/>
      <c r="P124" s="27"/>
      <c r="Q124" s="27"/>
      <c r="R124" s="27"/>
    </row>
    <row r="125" spans="1:18" x14ac:dyDescent="0.2">
      <c r="A125" s="27" t="str">
        <f t="shared" si="35"/>
        <v>Resolution Development Ltd</v>
      </c>
      <c r="B125" s="27" t="str">
        <f t="shared" si="35"/>
        <v>SOLE</v>
      </c>
      <c r="C125" s="27" t="str">
        <f t="shared" ref="C125" si="38">C60</f>
        <v>Generator</v>
      </c>
      <c r="D125" s="27"/>
      <c r="E125" s="27"/>
      <c r="F125" s="27"/>
      <c r="G125" s="27"/>
      <c r="I125" s="27"/>
      <c r="J125" s="27"/>
      <c r="K125" s="27"/>
      <c r="L125" s="27"/>
      <c r="O125" s="27"/>
      <c r="P125" s="27"/>
      <c r="Q125" s="27"/>
      <c r="R125" s="27"/>
    </row>
    <row r="126" spans="1:18" x14ac:dyDescent="0.2">
      <c r="A126" s="27" t="str">
        <f t="shared" ref="A126:C128" si="39">A61</f>
        <v>Southern Generation GP Limited</v>
      </c>
      <c r="B126" s="27" t="str">
        <f t="shared" si="39"/>
        <v>SOU2</v>
      </c>
      <c r="C126" s="27" t="str">
        <f t="shared" si="39"/>
        <v>Generator</v>
      </c>
      <c r="D126" s="27"/>
      <c r="E126" s="27"/>
      <c r="F126" s="27"/>
      <c r="G126" s="27"/>
      <c r="I126" s="27"/>
      <c r="J126" s="27"/>
      <c r="K126" s="27"/>
      <c r="L126" s="27"/>
      <c r="O126" s="27"/>
      <c r="P126" s="27"/>
      <c r="Q126" s="27"/>
      <c r="R126" s="27"/>
    </row>
    <row r="127" spans="1:18" x14ac:dyDescent="0.2">
      <c r="A127" s="27" t="str">
        <f t="shared" si="39"/>
        <v>Waverley Windfarm Limited</v>
      </c>
      <c r="B127" s="27" t="str">
        <f t="shared" si="39"/>
        <v>WAV1</v>
      </c>
      <c r="C127" s="27" t="str">
        <f t="shared" si="39"/>
        <v>Generator</v>
      </c>
      <c r="D127" s="27"/>
      <c r="E127" s="27"/>
      <c r="F127" s="27"/>
      <c r="G127" s="27"/>
      <c r="I127" s="27"/>
      <c r="J127" s="27"/>
      <c r="K127" s="27"/>
      <c r="L127" s="27"/>
      <c r="O127" s="27"/>
      <c r="P127" s="27"/>
      <c r="Q127" s="27"/>
      <c r="R127" s="27"/>
    </row>
    <row r="128" spans="1:18" x14ac:dyDescent="0.2">
      <c r="A128" s="27" t="str">
        <f t="shared" si="39"/>
        <v>Mercury NZ Limited</v>
      </c>
      <c r="B128" s="27" t="str">
        <f t="shared" si="39"/>
        <v>SCGL</v>
      </c>
      <c r="C128" s="27" t="str">
        <f t="shared" si="39"/>
        <v>Generator</v>
      </c>
      <c r="D128" s="27"/>
      <c r="E128" s="27"/>
      <c r="F128" s="27"/>
      <c r="G128" s="27"/>
      <c r="I128" s="27"/>
      <c r="J128" s="27"/>
      <c r="K128" s="27"/>
      <c r="L128" s="27"/>
      <c r="O128" s="27"/>
      <c r="P128" s="27"/>
      <c r="Q128" s="27"/>
      <c r="R128" s="27"/>
    </row>
    <row r="129" spans="1:19" x14ac:dyDescent="0.2">
      <c r="E129" s="2"/>
      <c r="G129" s="2"/>
      <c r="J129" s="2"/>
      <c r="L129" s="2"/>
      <c r="P129" s="2"/>
    </row>
    <row r="130" spans="1:19" x14ac:dyDescent="0.2">
      <c r="P130" s="2"/>
    </row>
    <row r="132" spans="1:19" ht="26.25" x14ac:dyDescent="0.2">
      <c r="A132" s="33" t="s">
        <v>192</v>
      </c>
    </row>
    <row r="136" spans="1:19" ht="20.25" x14ac:dyDescent="0.3">
      <c r="C136" s="82">
        <v>10000000</v>
      </c>
      <c r="D136" s="14" t="s">
        <v>193</v>
      </c>
      <c r="F136" s="47" t="s">
        <v>35</v>
      </c>
      <c r="K136" s="47" t="s">
        <v>36</v>
      </c>
    </row>
    <row r="137" spans="1:19" ht="15" x14ac:dyDescent="0.25">
      <c r="G137" s="4"/>
      <c r="H137" s="31"/>
      <c r="M137" s="31"/>
    </row>
    <row r="138" spans="1:19" ht="58.9" customHeight="1" x14ac:dyDescent="0.2">
      <c r="A138" s="21" t="str">
        <f t="shared" ref="A138:C157" si="40">A7</f>
        <v>Customer code</v>
      </c>
      <c r="B138" s="21" t="str">
        <f t="shared" si="40"/>
        <v>Customer name</v>
      </c>
      <c r="C138" s="21" t="str">
        <f t="shared" si="40"/>
        <v>Customer type</v>
      </c>
      <c r="D138" s="62" t="s">
        <v>194</v>
      </c>
      <c r="E138" t="s">
        <v>195</v>
      </c>
      <c r="F138" s="62" t="s">
        <v>196</v>
      </c>
      <c r="G138" s="62" t="s">
        <v>60</v>
      </c>
      <c r="H138" s="62" t="s">
        <v>61</v>
      </c>
      <c r="I138" s="62" t="s">
        <v>197</v>
      </c>
      <c r="J138" t="s">
        <v>195</v>
      </c>
      <c r="K138" s="62" t="s">
        <v>196</v>
      </c>
      <c r="L138" s="62" t="s">
        <v>198</v>
      </c>
      <c r="M138" s="21" t="s">
        <v>191</v>
      </c>
      <c r="N138" s="62" t="s">
        <v>198</v>
      </c>
      <c r="O138" s="21" t="s">
        <v>60</v>
      </c>
      <c r="P138" s="62" t="s">
        <v>61</v>
      </c>
      <c r="Q138" s="62" t="s">
        <v>199</v>
      </c>
      <c r="S138" s="62" t="s">
        <v>200</v>
      </c>
    </row>
    <row r="139" spans="1:19" x14ac:dyDescent="0.2">
      <c r="A139" s="23" t="str">
        <f t="shared" si="40"/>
        <v>Alpine Energy Ltd</v>
      </c>
      <c r="B139" s="26" t="str">
        <f t="shared" si="40"/>
        <v>ALPE</v>
      </c>
      <c r="C139" s="26" t="str">
        <f t="shared" si="40"/>
        <v>Lines Business</v>
      </c>
      <c r="D139" s="13">
        <f t="shared" ref="D139:D170" si="41">$C$136</f>
        <v>10000000</v>
      </c>
      <c r="F139" s="25">
        <f t="shared" ref="F139:F170" si="42">IFERROR($D8+($F8-$E8+D139)*$D73,"")</f>
        <v>159864.54057404766</v>
      </c>
      <c r="G139" s="25">
        <f>$I$4</f>
        <v>54.532348720038577</v>
      </c>
      <c r="H139" s="25">
        <f>IFERROR(G139*F139,"")</f>
        <v>8717788.874552723</v>
      </c>
      <c r="I139" s="25">
        <f t="shared" ref="I139:I170" si="43">IFERROR(H139-G73,"")</f>
        <v>106647.21713436767</v>
      </c>
      <c r="K139" s="25">
        <f t="shared" ref="K139:K170" si="44">IFERROR($D8+($F8-$E8+D139)*$D73,"")</f>
        <v>159864.54057404766</v>
      </c>
      <c r="L139" s="25">
        <f t="shared" ref="L139:L170" si="45">IFERROR($D8+($F8-$E8+D139)*$I73,"")</f>
        <v>159940.46835424498</v>
      </c>
      <c r="M139" s="83">
        <f t="shared" ref="M139:M170" si="46">IFERROR(F8/E8,"")</f>
        <v>1</v>
      </c>
      <c r="N139" s="25">
        <f>IF(M139&lt;1,K139,L139)</f>
        <v>159940.46835424498</v>
      </c>
      <c r="O139" s="60">
        <f>$Q$69</f>
        <v>54.53234872003857</v>
      </c>
      <c r="P139" s="25">
        <f>O139*N139</f>
        <v>8721929.3947399799</v>
      </c>
      <c r="Q139" s="25">
        <f t="shared" ref="Q139:Q170" si="47">P139-L73</f>
        <v>110787.73732162453</v>
      </c>
      <c r="S139" s="84">
        <f t="shared" ref="S139:S159" si="48">IFERROR(N139/F139,"")</f>
        <v>1.0004749507296908</v>
      </c>
    </row>
    <row r="140" spans="1:19" x14ac:dyDescent="0.2">
      <c r="A140" s="23" t="str">
        <f t="shared" si="40"/>
        <v>Aurora Energy Limited</v>
      </c>
      <c r="B140" s="26" t="str">
        <f t="shared" si="40"/>
        <v>DUNE</v>
      </c>
      <c r="C140" s="26" t="str">
        <f t="shared" si="40"/>
        <v>Lines Business</v>
      </c>
      <c r="D140" s="13">
        <f t="shared" si="41"/>
        <v>10000000</v>
      </c>
      <c r="F140" s="25">
        <f t="shared" si="42"/>
        <v>316766.08299039258</v>
      </c>
      <c r="G140" s="25">
        <f t="shared" ref="G140:G188" si="49">$I$4</f>
        <v>54.532348720038577</v>
      </c>
      <c r="H140" s="25">
        <f t="shared" ref="H140:H188" si="50">IFERROR(G140*F140,"")</f>
        <v>17273998.500312768</v>
      </c>
      <c r="I140" s="25">
        <f t="shared" si="43"/>
        <v>122751.37938989326</v>
      </c>
      <c r="K140" s="25">
        <f t="shared" si="44"/>
        <v>316766.08299039258</v>
      </c>
      <c r="L140" s="25">
        <f t="shared" si="45"/>
        <v>316546.69683980354</v>
      </c>
      <c r="M140" s="83">
        <f t="shared" si="46"/>
        <v>1</v>
      </c>
      <c r="N140" s="25">
        <f t="shared" ref="N140:N188" si="51">IF(M140&lt;1,K140,L140)</f>
        <v>316546.69683980354</v>
      </c>
      <c r="O140" s="60">
        <f t="shared" ref="O140:O188" si="52">$Q$69</f>
        <v>54.53234872003857</v>
      </c>
      <c r="P140" s="25">
        <f t="shared" ref="P140:P188" si="53">O140*N140</f>
        <v>17262034.858244497</v>
      </c>
      <c r="Q140" s="25">
        <f t="shared" si="47"/>
        <v>110787.73732162267</v>
      </c>
      <c r="S140" s="84">
        <f t="shared" si="48"/>
        <v>0.99930741906293141</v>
      </c>
    </row>
    <row r="141" spans="1:19" x14ac:dyDescent="0.2">
      <c r="A141" s="23" t="str">
        <f t="shared" si="40"/>
        <v>Beach Energy Resources NZ (Holdings) Ltd</v>
      </c>
      <c r="B141" s="26" t="str">
        <f t="shared" si="40"/>
        <v>KUPE</v>
      </c>
      <c r="C141" s="26" t="str">
        <f t="shared" si="40"/>
        <v>Direct Connect</v>
      </c>
      <c r="D141" s="13">
        <f t="shared" si="41"/>
        <v>10000000</v>
      </c>
      <c r="F141" s="25">
        <f t="shared" si="42"/>
        <v>10692.514037174986</v>
      </c>
      <c r="G141" s="25">
        <f t="shared" si="49"/>
        <v>54.532348720038577</v>
      </c>
      <c r="H141" s="25">
        <f t="shared" si="50"/>
        <v>583087.90416913386</v>
      </c>
      <c r="I141" s="25">
        <f t="shared" si="43"/>
        <v>83064.906212339469</v>
      </c>
      <c r="K141" s="25">
        <f t="shared" si="44"/>
        <v>10692.514037174986</v>
      </c>
      <c r="L141" s="25">
        <f t="shared" si="45"/>
        <v>11200.888089640828</v>
      </c>
      <c r="M141" s="83">
        <f t="shared" si="46"/>
        <v>1</v>
      </c>
      <c r="N141" s="25">
        <f t="shared" si="51"/>
        <v>11200.888089640828</v>
      </c>
      <c r="O141" s="60">
        <f t="shared" si="52"/>
        <v>54.53234872003857</v>
      </c>
      <c r="P141" s="25">
        <f t="shared" si="53"/>
        <v>610810.73527842027</v>
      </c>
      <c r="Q141" s="25">
        <f t="shared" si="47"/>
        <v>110787.73732162587</v>
      </c>
      <c r="S141" s="84">
        <f t="shared" si="48"/>
        <v>1.0475448571494377</v>
      </c>
    </row>
    <row r="142" spans="1:19" x14ac:dyDescent="0.2">
      <c r="A142" s="23" t="str">
        <f t="shared" si="40"/>
        <v>Buller Electricity Ltd</v>
      </c>
      <c r="B142" s="26" t="str">
        <f t="shared" si="40"/>
        <v>BUEL</v>
      </c>
      <c r="C142" s="26" t="str">
        <f t="shared" si="40"/>
        <v>Lines Business</v>
      </c>
      <c r="D142" s="13">
        <f t="shared" si="41"/>
        <v>10000000</v>
      </c>
      <c r="F142" s="25">
        <f t="shared" si="42"/>
        <v>14489.589683389137</v>
      </c>
      <c r="G142" s="25">
        <f t="shared" si="49"/>
        <v>54.532348720038577</v>
      </c>
      <c r="H142" s="25">
        <f t="shared" si="50"/>
        <v>790151.35742484976</v>
      </c>
      <c r="I142" s="25">
        <f t="shared" si="43"/>
        <v>105369.75556538592</v>
      </c>
      <c r="K142" s="25">
        <f t="shared" si="44"/>
        <v>14489.589683389137</v>
      </c>
      <c r="L142" s="25">
        <f t="shared" si="45"/>
        <v>14588.943220939027</v>
      </c>
      <c r="M142" s="83">
        <f t="shared" si="46"/>
        <v>1</v>
      </c>
      <c r="N142" s="25">
        <f t="shared" si="51"/>
        <v>14588.943220939027</v>
      </c>
      <c r="O142" s="60">
        <f t="shared" si="52"/>
        <v>54.53234872003857</v>
      </c>
      <c r="P142" s="25">
        <f>O142*N142</f>
        <v>795569.33918108977</v>
      </c>
      <c r="Q142" s="25">
        <f t="shared" si="47"/>
        <v>110787.73732162593</v>
      </c>
      <c r="S142" s="84">
        <f t="shared" si="48"/>
        <v>1.0068568910314823</v>
      </c>
    </row>
    <row r="143" spans="1:19" x14ac:dyDescent="0.2">
      <c r="A143" s="23" t="str">
        <f t="shared" si="40"/>
        <v>Centralines Limited</v>
      </c>
      <c r="B143" s="26" t="str">
        <f t="shared" si="40"/>
        <v>CHBP</v>
      </c>
      <c r="C143" s="26" t="str">
        <f t="shared" si="40"/>
        <v>Lines Business</v>
      </c>
      <c r="D143" s="13">
        <f t="shared" si="41"/>
        <v>10000000</v>
      </c>
      <c r="F143" s="25">
        <f t="shared" si="42"/>
        <v>22156.150308954617</v>
      </c>
      <c r="G143" s="25">
        <f t="shared" si="49"/>
        <v>54.532348720038577</v>
      </c>
      <c r="H143" s="25">
        <f t="shared" si="50"/>
        <v>1208226.9149415037</v>
      </c>
      <c r="I143" s="25">
        <f t="shared" si="43"/>
        <v>95705.567560598254</v>
      </c>
      <c r="K143" s="25">
        <f t="shared" si="44"/>
        <v>22156.150308954617</v>
      </c>
      <c r="L143" s="25">
        <f t="shared" si="45"/>
        <v>22432.723207702431</v>
      </c>
      <c r="M143" s="83">
        <f t="shared" si="46"/>
        <v>1</v>
      </c>
      <c r="N143" s="25">
        <f t="shared" si="51"/>
        <v>22432.723207702431</v>
      </c>
      <c r="O143" s="60">
        <f t="shared" si="52"/>
        <v>54.53234872003857</v>
      </c>
      <c r="P143" s="25">
        <f t="shared" si="53"/>
        <v>1223309.0847025311</v>
      </c>
      <c r="Q143" s="25">
        <f t="shared" si="47"/>
        <v>110787.7373216257</v>
      </c>
      <c r="S143" s="84">
        <f t="shared" si="48"/>
        <v>1.0124828950377736</v>
      </c>
    </row>
    <row r="144" spans="1:19" x14ac:dyDescent="0.2">
      <c r="A144" s="23" t="str">
        <f t="shared" si="40"/>
        <v>Contact Energy Limited</v>
      </c>
      <c r="B144" s="26" t="str">
        <f t="shared" si="40"/>
        <v>CTCT</v>
      </c>
      <c r="C144" s="26" t="str">
        <f t="shared" si="40"/>
        <v>Generator</v>
      </c>
      <c r="D144" s="13">
        <f t="shared" si="41"/>
        <v>10000000</v>
      </c>
      <c r="F144" s="25">
        <f t="shared" si="42"/>
        <v>55740.376145104805</v>
      </c>
      <c r="G144" s="25">
        <f t="shared" si="49"/>
        <v>54.532348720038577</v>
      </c>
      <c r="H144" s="25">
        <f t="shared" si="50"/>
        <v>3039653.6297309748</v>
      </c>
      <c r="I144" s="25">
        <f t="shared" si="43"/>
        <v>1734890.6676169394</v>
      </c>
      <c r="K144" s="25">
        <f t="shared" si="44"/>
        <v>55740.376145104805</v>
      </c>
      <c r="L144" s="25">
        <f t="shared" si="45"/>
        <v>25957.999841578432</v>
      </c>
      <c r="M144" s="83">
        <f t="shared" si="46"/>
        <v>1</v>
      </c>
      <c r="N144" s="25">
        <f t="shared" si="51"/>
        <v>25957.999841578432</v>
      </c>
      <c r="O144" s="60">
        <f t="shared" si="52"/>
        <v>54.53234872003857</v>
      </c>
      <c r="P144" s="25">
        <f t="shared" si="53"/>
        <v>1415550.6994356611</v>
      </c>
      <c r="Q144" s="25">
        <f t="shared" si="47"/>
        <v>110787.7373216257</v>
      </c>
      <c r="S144" s="84">
        <f t="shared" si="48"/>
        <v>0.46569473758131608</v>
      </c>
    </row>
    <row r="145" spans="1:19" x14ac:dyDescent="0.2">
      <c r="A145" s="23" t="str">
        <f t="shared" si="40"/>
        <v>Counties Energy Ltd</v>
      </c>
      <c r="B145" s="26" t="str">
        <f t="shared" si="40"/>
        <v>COUP</v>
      </c>
      <c r="C145" s="26" t="str">
        <f t="shared" si="40"/>
        <v>Lines Business</v>
      </c>
      <c r="D145" s="13">
        <f t="shared" si="41"/>
        <v>10000000</v>
      </c>
      <c r="F145" s="25">
        <f t="shared" si="42"/>
        <v>127758.94717174271</v>
      </c>
      <c r="G145" s="25">
        <f t="shared" si="49"/>
        <v>54.532348720038577</v>
      </c>
      <c r="H145" s="25">
        <f t="shared" si="50"/>
        <v>6966995.4592744596</v>
      </c>
      <c r="I145" s="25">
        <f t="shared" si="43"/>
        <v>115217.38868152909</v>
      </c>
      <c r="K145" s="25">
        <f t="shared" si="44"/>
        <v>127758.94717174271</v>
      </c>
      <c r="L145" s="25">
        <f t="shared" si="45"/>
        <v>127677.71737944742</v>
      </c>
      <c r="M145" s="83">
        <f t="shared" si="46"/>
        <v>1</v>
      </c>
      <c r="N145" s="25">
        <f t="shared" si="51"/>
        <v>127677.71737944742</v>
      </c>
      <c r="O145" s="60">
        <f t="shared" si="52"/>
        <v>54.53234872003857</v>
      </c>
      <c r="P145" s="25">
        <f t="shared" si="53"/>
        <v>6962565.807914556</v>
      </c>
      <c r="Q145" s="25">
        <f t="shared" si="47"/>
        <v>110787.73732162546</v>
      </c>
      <c r="S145" s="84">
        <f t="shared" si="48"/>
        <v>0.99936419488346218</v>
      </c>
    </row>
    <row r="146" spans="1:19" x14ac:dyDescent="0.2">
      <c r="A146" s="23" t="str">
        <f t="shared" si="40"/>
        <v>Daiken Southland Limited</v>
      </c>
      <c r="B146" s="26" t="str">
        <f t="shared" si="40"/>
        <v>RAYN</v>
      </c>
      <c r="C146" s="26" t="str">
        <f t="shared" si="40"/>
        <v>Direct Connect</v>
      </c>
      <c r="D146" s="13">
        <f t="shared" si="41"/>
        <v>10000000</v>
      </c>
      <c r="F146" s="25">
        <f t="shared" si="42"/>
        <v>10803.614107426043</v>
      </c>
      <c r="G146" s="25">
        <f t="shared" si="49"/>
        <v>54.532348720038577</v>
      </c>
      <c r="H146" s="25">
        <f t="shared" si="50"/>
        <v>589146.45194288529</v>
      </c>
      <c r="I146" s="25">
        <f t="shared" si="43"/>
        <v>86743.733994124981</v>
      </c>
      <c r="K146" s="25">
        <f t="shared" si="44"/>
        <v>10803.614107426043</v>
      </c>
      <c r="L146" s="25">
        <f t="shared" si="45"/>
        <v>11244.526774711649</v>
      </c>
      <c r="M146" s="83">
        <f t="shared" si="46"/>
        <v>1</v>
      </c>
      <c r="N146" s="25">
        <f t="shared" si="51"/>
        <v>11244.526774711649</v>
      </c>
      <c r="O146" s="60">
        <f t="shared" si="52"/>
        <v>54.53234872003857</v>
      </c>
      <c r="P146" s="25">
        <f t="shared" si="53"/>
        <v>613190.45527038618</v>
      </c>
      <c r="Q146" s="25">
        <f t="shared" si="47"/>
        <v>110787.73732162587</v>
      </c>
      <c r="S146" s="84">
        <f t="shared" si="48"/>
        <v>1.0408115897977637</v>
      </c>
    </row>
    <row r="147" spans="1:19" x14ac:dyDescent="0.2">
      <c r="A147" s="23" t="str">
        <f t="shared" si="40"/>
        <v>EA Networks</v>
      </c>
      <c r="B147" s="26" t="str">
        <f t="shared" si="40"/>
        <v>EASH</v>
      </c>
      <c r="C147" s="26" t="str">
        <f t="shared" si="40"/>
        <v>Lines Business</v>
      </c>
      <c r="D147" s="13">
        <f t="shared" si="41"/>
        <v>10000000</v>
      </c>
      <c r="F147" s="25">
        <f t="shared" si="42"/>
        <v>167067.23396449952</v>
      </c>
      <c r="G147" s="25">
        <f t="shared" si="49"/>
        <v>54.532348720038577</v>
      </c>
      <c r="H147" s="25">
        <f t="shared" si="50"/>
        <v>9110568.6622443609</v>
      </c>
      <c r="I147" s="25">
        <f t="shared" si="43"/>
        <v>147983.59642258286</v>
      </c>
      <c r="K147" s="25">
        <f t="shared" si="44"/>
        <v>167067.23396449952</v>
      </c>
      <c r="L147" s="25">
        <f t="shared" si="45"/>
        <v>166385.14599334105</v>
      </c>
      <c r="M147" s="83">
        <f t="shared" si="46"/>
        <v>1</v>
      </c>
      <c r="N147" s="25">
        <f t="shared" si="51"/>
        <v>166385.14599334105</v>
      </c>
      <c r="O147" s="60">
        <f t="shared" si="52"/>
        <v>54.53234872003857</v>
      </c>
      <c r="P147" s="25">
        <f t="shared" si="53"/>
        <v>9073372.8031434026</v>
      </c>
      <c r="Q147" s="25">
        <f t="shared" si="47"/>
        <v>110787.73732162453</v>
      </c>
      <c r="S147" s="84">
        <f t="shared" si="48"/>
        <v>0.99591728458673467</v>
      </c>
    </row>
    <row r="148" spans="1:19" x14ac:dyDescent="0.2">
      <c r="A148" s="32" t="str">
        <f t="shared" si="40"/>
        <v>Electra Limited</v>
      </c>
      <c r="B148" s="26" t="str">
        <f t="shared" si="40"/>
        <v>HORO</v>
      </c>
      <c r="C148" s="26" t="str">
        <f t="shared" si="40"/>
        <v>Lines Business</v>
      </c>
      <c r="D148" s="13">
        <f t="shared" si="41"/>
        <v>10000000</v>
      </c>
      <c r="F148" s="25">
        <f t="shared" si="42"/>
        <v>113687.55448166016</v>
      </c>
      <c r="G148" s="25">
        <f t="shared" si="49"/>
        <v>54.532348720038577</v>
      </c>
      <c r="H148" s="25">
        <f t="shared" si="50"/>
        <v>6199649.3661222765</v>
      </c>
      <c r="I148" s="25">
        <f t="shared" si="43"/>
        <v>137287.84834987205</v>
      </c>
      <c r="K148" s="25">
        <f t="shared" si="44"/>
        <v>113687.55448166016</v>
      </c>
      <c r="L148" s="25">
        <f t="shared" si="45"/>
        <v>113201.60235140636</v>
      </c>
      <c r="M148" s="83">
        <f t="shared" si="46"/>
        <v>1</v>
      </c>
      <c r="N148" s="25">
        <f t="shared" si="51"/>
        <v>113201.60235140636</v>
      </c>
      <c r="O148" s="60">
        <f t="shared" si="52"/>
        <v>54.53234872003857</v>
      </c>
      <c r="P148" s="25">
        <f t="shared" si="53"/>
        <v>6173149.2550940299</v>
      </c>
      <c r="Q148" s="25">
        <f t="shared" si="47"/>
        <v>110787.73732162546</v>
      </c>
      <c r="S148" s="84">
        <f t="shared" si="48"/>
        <v>0.99572554680704128</v>
      </c>
    </row>
    <row r="149" spans="1:19" x14ac:dyDescent="0.2">
      <c r="A149" s="23" t="str">
        <f t="shared" si="40"/>
        <v>Firstlight Network Limited</v>
      </c>
      <c r="B149" s="26" t="str">
        <f t="shared" si="40"/>
        <v>EAST</v>
      </c>
      <c r="C149" s="26" t="str">
        <f t="shared" si="40"/>
        <v>Lines Business</v>
      </c>
      <c r="D149" s="13">
        <f t="shared" si="41"/>
        <v>10000000</v>
      </c>
      <c r="F149" s="25">
        <f t="shared" si="42"/>
        <v>62297.228885179735</v>
      </c>
      <c r="G149" s="25">
        <f t="shared" si="49"/>
        <v>54.532348720038577</v>
      </c>
      <c r="H149" s="25">
        <f t="shared" si="50"/>
        <v>3397214.2098586815</v>
      </c>
      <c r="I149" s="25">
        <f t="shared" si="43"/>
        <v>107362.84373814799</v>
      </c>
      <c r="K149" s="25">
        <f t="shared" si="44"/>
        <v>62297.228885179735</v>
      </c>
      <c r="L149" s="25">
        <f t="shared" si="45"/>
        <v>62360.033691205252</v>
      </c>
      <c r="M149" s="83">
        <f t="shared" si="46"/>
        <v>1</v>
      </c>
      <c r="N149" s="25">
        <f t="shared" si="51"/>
        <v>62360.033691205252</v>
      </c>
      <c r="O149" s="60">
        <f t="shared" si="52"/>
        <v>54.53234872003857</v>
      </c>
      <c r="P149" s="25">
        <f t="shared" si="53"/>
        <v>3400639.103442159</v>
      </c>
      <c r="Q149" s="25">
        <f t="shared" si="47"/>
        <v>110787.73732162546</v>
      </c>
      <c r="S149" s="84">
        <f t="shared" si="48"/>
        <v>1.001008147668033</v>
      </c>
    </row>
    <row r="150" spans="1:19" x14ac:dyDescent="0.2">
      <c r="A150" s="23" t="str">
        <f t="shared" si="40"/>
        <v>Genesis Energy Ltd</v>
      </c>
      <c r="B150" s="26" t="str">
        <f t="shared" si="40"/>
        <v>GENE</v>
      </c>
      <c r="C150" s="26" t="str">
        <f t="shared" si="40"/>
        <v>Generator</v>
      </c>
      <c r="D150" s="13">
        <f t="shared" si="41"/>
        <v>10000000</v>
      </c>
      <c r="F150" s="25">
        <f t="shared" si="42"/>
        <v>37834.927921981987</v>
      </c>
      <c r="G150" s="25">
        <f t="shared" si="49"/>
        <v>54.532348720038577</v>
      </c>
      <c r="H150" s="25">
        <f t="shared" si="50"/>
        <v>2063227.4832390463</v>
      </c>
      <c r="I150" s="25">
        <f t="shared" si="43"/>
        <v>1394813.0824658014</v>
      </c>
      <c r="K150" s="25">
        <f t="shared" si="44"/>
        <v>37834.927921981987</v>
      </c>
      <c r="L150" s="25">
        <f t="shared" si="45"/>
        <v>14288.805752621904</v>
      </c>
      <c r="M150" s="83">
        <f t="shared" si="46"/>
        <v>1</v>
      </c>
      <c r="N150" s="25">
        <f t="shared" si="51"/>
        <v>14288.805752621904</v>
      </c>
      <c r="O150" s="60">
        <f t="shared" si="52"/>
        <v>54.53234872003857</v>
      </c>
      <c r="P150" s="25">
        <f t="shared" si="53"/>
        <v>779202.13809487084</v>
      </c>
      <c r="Q150" s="25">
        <f t="shared" si="47"/>
        <v>110787.73732162593</v>
      </c>
      <c r="S150" s="84">
        <f t="shared" si="48"/>
        <v>0.37766176750980796</v>
      </c>
    </row>
    <row r="151" spans="1:19" x14ac:dyDescent="0.2">
      <c r="A151" s="23" t="str">
        <f t="shared" si="40"/>
        <v>Horizon Energy Distribution Ltd</v>
      </c>
      <c r="B151" s="26" t="str">
        <f t="shared" si="40"/>
        <v>HRZE</v>
      </c>
      <c r="C151" s="26" t="str">
        <f t="shared" si="40"/>
        <v>Lines Business</v>
      </c>
      <c r="D151" s="13">
        <f t="shared" si="41"/>
        <v>10000000</v>
      </c>
      <c r="F151" s="25">
        <f t="shared" si="42"/>
        <v>95764.006948457609</v>
      </c>
      <c r="G151" s="25">
        <f t="shared" si="49"/>
        <v>54.532348720038577</v>
      </c>
      <c r="H151" s="25">
        <f t="shared" si="50"/>
        <v>5222236.2217414873</v>
      </c>
      <c r="I151" s="25">
        <f t="shared" si="43"/>
        <v>98625.653318826109</v>
      </c>
      <c r="K151" s="25">
        <f t="shared" si="44"/>
        <v>95764.006948457609</v>
      </c>
      <c r="L151" s="25">
        <f t="shared" si="45"/>
        <v>95987.032075529205</v>
      </c>
      <c r="M151" s="83">
        <f t="shared" si="46"/>
        <v>1</v>
      </c>
      <c r="N151" s="25">
        <f t="shared" si="51"/>
        <v>95987.032075529205</v>
      </c>
      <c r="O151" s="60">
        <f t="shared" si="52"/>
        <v>54.53234872003857</v>
      </c>
      <c r="P151" s="25">
        <f t="shared" si="53"/>
        <v>5234398.3057442866</v>
      </c>
      <c r="Q151" s="25">
        <f t="shared" si="47"/>
        <v>110787.73732162546</v>
      </c>
      <c r="S151" s="84">
        <f t="shared" si="48"/>
        <v>1.0023289034594347</v>
      </c>
    </row>
    <row r="152" spans="1:19" x14ac:dyDescent="0.2">
      <c r="A152" s="23" t="str">
        <f t="shared" si="40"/>
        <v>KiwiRail Holdings Limited</v>
      </c>
      <c r="B152" s="26" t="str">
        <f t="shared" si="40"/>
        <v>TRNZ</v>
      </c>
      <c r="C152" s="26" t="str">
        <f t="shared" si="40"/>
        <v>Direct Connect</v>
      </c>
      <c r="D152" s="13">
        <f t="shared" si="41"/>
        <v>10000000</v>
      </c>
      <c r="F152" s="25">
        <f t="shared" si="42"/>
        <v>53036.119293415046</v>
      </c>
      <c r="G152" s="25">
        <f t="shared" si="49"/>
        <v>54.532348720038577</v>
      </c>
      <c r="H152" s="25">
        <f t="shared" si="50"/>
        <v>2892184.1520660752</v>
      </c>
      <c r="I152" s="25">
        <f t="shared" si="43"/>
        <v>476672.079261126</v>
      </c>
      <c r="K152" s="25">
        <f t="shared" si="44"/>
        <v>53036.119293415046</v>
      </c>
      <c r="L152" s="25">
        <f t="shared" si="45"/>
        <v>46326.627578361673</v>
      </c>
      <c r="M152" s="83">
        <f t="shared" si="46"/>
        <v>1</v>
      </c>
      <c r="N152" s="25">
        <f t="shared" si="51"/>
        <v>46326.627578361673</v>
      </c>
      <c r="O152" s="60">
        <f t="shared" si="52"/>
        <v>54.53234872003857</v>
      </c>
      <c r="P152" s="25">
        <f t="shared" si="53"/>
        <v>2526299.8101265747</v>
      </c>
      <c r="Q152" s="25">
        <f t="shared" si="47"/>
        <v>110787.73732162546</v>
      </c>
      <c r="S152" s="84">
        <f t="shared" si="48"/>
        <v>0.87349203138461107</v>
      </c>
    </row>
    <row r="153" spans="1:19" x14ac:dyDescent="0.2">
      <c r="A153" s="23" t="str">
        <f t="shared" si="40"/>
        <v>Mainpower New Zealand Limited</v>
      </c>
      <c r="B153" s="26" t="str">
        <f t="shared" si="40"/>
        <v>MPOW</v>
      </c>
      <c r="C153" s="26" t="str">
        <f t="shared" si="40"/>
        <v>Lines Business</v>
      </c>
      <c r="D153" s="13">
        <f t="shared" si="41"/>
        <v>10000000</v>
      </c>
      <c r="F153" s="25">
        <f t="shared" si="42"/>
        <v>135778.25129815709</v>
      </c>
      <c r="G153" s="25">
        <f t="shared" si="49"/>
        <v>54.532348720038577</v>
      </c>
      <c r="H153" s="25">
        <f t="shared" si="50"/>
        <v>7404306.9483881332</v>
      </c>
      <c r="I153" s="25">
        <f t="shared" si="43"/>
        <v>113629.11892842408</v>
      </c>
      <c r="K153" s="25">
        <f t="shared" si="44"/>
        <v>135778.25129815709</v>
      </c>
      <c r="L153" s="25">
        <f t="shared" si="45"/>
        <v>135726.14678269994</v>
      </c>
      <c r="M153" s="83">
        <f t="shared" si="46"/>
        <v>1</v>
      </c>
      <c r="N153" s="25">
        <f t="shared" si="51"/>
        <v>135726.14678269994</v>
      </c>
      <c r="O153" s="60">
        <f t="shared" si="52"/>
        <v>54.53234872003857</v>
      </c>
      <c r="P153" s="25">
        <f t="shared" si="53"/>
        <v>7401465.5667813346</v>
      </c>
      <c r="Q153" s="25">
        <f t="shared" si="47"/>
        <v>110787.73732162546</v>
      </c>
      <c r="S153" s="84">
        <f t="shared" si="48"/>
        <v>0.99961625286112477</v>
      </c>
    </row>
    <row r="154" spans="1:19" x14ac:dyDescent="0.2">
      <c r="A154" s="23" t="str">
        <f t="shared" si="40"/>
        <v>Manawa Energy Ltd</v>
      </c>
      <c r="B154" s="26" t="str">
        <f t="shared" si="40"/>
        <v>TRUG</v>
      </c>
      <c r="C154" s="26" t="str">
        <f t="shared" si="40"/>
        <v>Generator</v>
      </c>
      <c r="D154" s="13">
        <f t="shared" si="41"/>
        <v>10000000</v>
      </c>
      <c r="F154" s="25">
        <f t="shared" si="42"/>
        <v>53630.623426533457</v>
      </c>
      <c r="G154" s="25">
        <f t="shared" si="49"/>
        <v>54.532348720038577</v>
      </c>
      <c r="H154" s="25">
        <f t="shared" si="50"/>
        <v>2924603.8587687928</v>
      </c>
      <c r="I154" s="25">
        <f t="shared" si="43"/>
        <v>2892175.3257474168</v>
      </c>
      <c r="K154" s="25">
        <f t="shared" si="44"/>
        <v>53630.623426533457</v>
      </c>
      <c r="L154" s="25">
        <f t="shared" si="45"/>
        <v>2626.262644183073</v>
      </c>
      <c r="M154" s="83">
        <f t="shared" si="46"/>
        <v>1</v>
      </c>
      <c r="N154" s="25">
        <f t="shared" si="51"/>
        <v>2626.262644183073</v>
      </c>
      <c r="O154" s="60">
        <f t="shared" si="52"/>
        <v>54.53234872003857</v>
      </c>
      <c r="P154" s="25">
        <f t="shared" si="53"/>
        <v>143216.2703430019</v>
      </c>
      <c r="Q154" s="25">
        <f t="shared" si="47"/>
        <v>110787.7373216259</v>
      </c>
      <c r="S154" s="84">
        <f t="shared" si="48"/>
        <v>4.8969459543588743E-2</v>
      </c>
    </row>
    <row r="155" spans="1:19" x14ac:dyDescent="0.2">
      <c r="A155" s="23" t="str">
        <f t="shared" si="40"/>
        <v>Marlborough Lines Limited</v>
      </c>
      <c r="B155" s="26" t="str">
        <f t="shared" si="40"/>
        <v>MARL</v>
      </c>
      <c r="C155" s="26" t="str">
        <f t="shared" si="40"/>
        <v>Lines Business</v>
      </c>
      <c r="D155" s="13">
        <f t="shared" si="41"/>
        <v>10000000</v>
      </c>
      <c r="F155" s="25">
        <f t="shared" si="42"/>
        <v>75402.313294276726</v>
      </c>
      <c r="G155" s="25">
        <f t="shared" si="49"/>
        <v>54.532348720038577</v>
      </c>
      <c r="H155" s="25">
        <f t="shared" si="50"/>
        <v>4111865.2428610991</v>
      </c>
      <c r="I155" s="25">
        <f t="shared" si="43"/>
        <v>99861.770882290788</v>
      </c>
      <c r="K155" s="25">
        <f t="shared" si="44"/>
        <v>75402.313294276726</v>
      </c>
      <c r="L155" s="25">
        <f t="shared" si="45"/>
        <v>75602.670819594903</v>
      </c>
      <c r="M155" s="83">
        <f t="shared" si="46"/>
        <v>1</v>
      </c>
      <c r="N155" s="25">
        <f t="shared" si="51"/>
        <v>75602.670819594903</v>
      </c>
      <c r="O155" s="60">
        <f t="shared" si="52"/>
        <v>54.53234872003857</v>
      </c>
      <c r="P155" s="25">
        <f t="shared" si="53"/>
        <v>4122791.2093004333</v>
      </c>
      <c r="Q155" s="25">
        <f t="shared" si="47"/>
        <v>110787.737321625</v>
      </c>
      <c r="S155" s="84">
        <f t="shared" si="48"/>
        <v>1.0026571800859243</v>
      </c>
    </row>
    <row r="156" spans="1:19" x14ac:dyDescent="0.2">
      <c r="A156" s="23" t="str">
        <f t="shared" si="40"/>
        <v>MEL (Te Apiti) Limited</v>
      </c>
      <c r="B156" s="26" t="str">
        <f t="shared" si="40"/>
        <v>MELT</v>
      </c>
      <c r="C156" s="26" t="str">
        <f t="shared" si="40"/>
        <v>Generator</v>
      </c>
      <c r="D156" s="13">
        <f t="shared" si="41"/>
        <v>10000000</v>
      </c>
      <c r="F156" s="25">
        <f t="shared" si="42"/>
        <v>18057.049787509157</v>
      </c>
      <c r="G156" s="25">
        <f t="shared" si="49"/>
        <v>54.532348720038577</v>
      </c>
      <c r="H156" s="25">
        <f t="shared" si="50"/>
        <v>984693.33586754778</v>
      </c>
      <c r="I156" s="25">
        <f t="shared" si="43"/>
        <v>933026.21607984276</v>
      </c>
      <c r="K156" s="25">
        <f t="shared" si="44"/>
        <v>18057.049787509157</v>
      </c>
      <c r="L156" s="25">
        <f t="shared" si="45"/>
        <v>2979.0548348348484</v>
      </c>
      <c r="M156" s="83">
        <f t="shared" si="46"/>
        <v>1</v>
      </c>
      <c r="N156" s="25">
        <f t="shared" si="51"/>
        <v>2979.0548348348484</v>
      </c>
      <c r="O156" s="60">
        <f t="shared" si="52"/>
        <v>54.53234872003857</v>
      </c>
      <c r="P156" s="25">
        <f t="shared" si="53"/>
        <v>162454.85710933086</v>
      </c>
      <c r="Q156" s="25">
        <f t="shared" si="47"/>
        <v>110787.73732162589</v>
      </c>
      <c r="S156" s="84">
        <f t="shared" si="48"/>
        <v>0.16498015289826523</v>
      </c>
    </row>
    <row r="157" spans="1:19" x14ac:dyDescent="0.2">
      <c r="A157" s="23" t="str">
        <f t="shared" si="40"/>
        <v>MEL (West Wind) Limited</v>
      </c>
      <c r="B157" s="26" t="str">
        <f t="shared" si="40"/>
        <v>MELW</v>
      </c>
      <c r="C157" s="26" t="str">
        <f t="shared" si="40"/>
        <v>Generator</v>
      </c>
      <c r="D157" s="13">
        <f t="shared" si="41"/>
        <v>10000000</v>
      </c>
      <c r="F157" s="25">
        <f t="shared" si="42"/>
        <v>18226.314883283932</v>
      </c>
      <c r="G157" s="25">
        <f t="shared" si="49"/>
        <v>54.532348720038577</v>
      </c>
      <c r="H157" s="25">
        <f t="shared" si="50"/>
        <v>993923.75909646857</v>
      </c>
      <c r="I157" s="25">
        <f t="shared" si="43"/>
        <v>930002.65393569588</v>
      </c>
      <c r="K157" s="25">
        <f t="shared" si="44"/>
        <v>18226.314883283932</v>
      </c>
      <c r="L157" s="25">
        <f t="shared" si="45"/>
        <v>3203.7652252854409</v>
      </c>
      <c r="M157" s="83">
        <f t="shared" si="46"/>
        <v>1</v>
      </c>
      <c r="N157" s="25">
        <f t="shared" si="51"/>
        <v>3203.7652252854409</v>
      </c>
      <c r="O157" s="60">
        <f t="shared" si="52"/>
        <v>54.53234872003857</v>
      </c>
      <c r="P157" s="25">
        <f t="shared" si="53"/>
        <v>174708.84248239858</v>
      </c>
      <c r="Q157" s="25">
        <f t="shared" si="47"/>
        <v>110787.73732162589</v>
      </c>
      <c r="S157" s="84">
        <f t="shared" si="48"/>
        <v>0.17577690530430479</v>
      </c>
    </row>
    <row r="158" spans="1:19" x14ac:dyDescent="0.2">
      <c r="A158" s="23" t="str">
        <f t="shared" ref="A158:C177" si="54">A27</f>
        <v>Mercury NZ Limited</v>
      </c>
      <c r="B158" s="26" t="str">
        <f t="shared" si="54"/>
        <v>MRPL</v>
      </c>
      <c r="C158" s="26" t="str">
        <f t="shared" si="54"/>
        <v>Generator</v>
      </c>
      <c r="D158" s="13">
        <f t="shared" si="41"/>
        <v>10000000</v>
      </c>
      <c r="F158" s="25">
        <f t="shared" si="42"/>
        <v>36972.357181707877</v>
      </c>
      <c r="G158" s="25">
        <f t="shared" si="49"/>
        <v>54.532348720038577</v>
      </c>
      <c r="H158" s="25">
        <f t="shared" si="50"/>
        <v>2016189.4748347166</v>
      </c>
      <c r="I158" s="25">
        <f t="shared" si="43"/>
        <v>237111.75453538075</v>
      </c>
      <c r="K158" s="25">
        <f t="shared" si="44"/>
        <v>36972.357181707877</v>
      </c>
      <c r="L158" s="25">
        <f t="shared" si="45"/>
        <v>34655.860273381324</v>
      </c>
      <c r="M158" s="83">
        <f t="shared" si="46"/>
        <v>1</v>
      </c>
      <c r="N158" s="25">
        <f t="shared" si="51"/>
        <v>34655.860273381324</v>
      </c>
      <c r="O158" s="60">
        <f t="shared" si="52"/>
        <v>54.53234872003857</v>
      </c>
      <c r="P158" s="25">
        <f t="shared" si="53"/>
        <v>1889865.4576209616</v>
      </c>
      <c r="Q158" s="25">
        <f t="shared" si="47"/>
        <v>110787.7373216257</v>
      </c>
      <c r="S158" s="84">
        <f t="shared" si="48"/>
        <v>0.93734516582370775</v>
      </c>
    </row>
    <row r="159" spans="1:19" x14ac:dyDescent="0.2">
      <c r="A159" s="23" t="str">
        <f t="shared" si="54"/>
        <v>Mercury SPV Limited</v>
      </c>
      <c r="B159" s="26" t="str">
        <f t="shared" si="54"/>
        <v>MSVP</v>
      </c>
      <c r="C159" s="26" t="str">
        <f t="shared" si="54"/>
        <v>Generator</v>
      </c>
      <c r="D159" s="13">
        <f t="shared" si="41"/>
        <v>10000000</v>
      </c>
      <c r="F159" s="25" t="str">
        <f t="shared" si="42"/>
        <v/>
      </c>
      <c r="G159" s="25">
        <f t="shared" si="49"/>
        <v>54.532348720038577</v>
      </c>
      <c r="H159" s="25" t="str">
        <f t="shared" si="50"/>
        <v/>
      </c>
      <c r="I159" s="25" t="str">
        <f t="shared" si="43"/>
        <v/>
      </c>
      <c r="K159" s="25" t="str">
        <f t="shared" si="44"/>
        <v/>
      </c>
      <c r="L159" s="25">
        <f t="shared" si="45"/>
        <v>2031.5966563331906</v>
      </c>
      <c r="M159" s="83" t="str">
        <f t="shared" si="46"/>
        <v/>
      </c>
      <c r="N159" s="25">
        <f t="shared" si="51"/>
        <v>2031.5966563331906</v>
      </c>
      <c r="O159" s="60">
        <f t="shared" si="52"/>
        <v>54.53234872003857</v>
      </c>
      <c r="P159" s="25">
        <f t="shared" si="53"/>
        <v>110787.7373216259</v>
      </c>
      <c r="Q159" s="25">
        <f t="shared" si="47"/>
        <v>110787.7373216259</v>
      </c>
      <c r="S159" s="84" t="str">
        <f t="shared" si="48"/>
        <v/>
      </c>
    </row>
    <row r="160" spans="1:19" x14ac:dyDescent="0.2">
      <c r="A160" s="23" t="str">
        <f t="shared" si="54"/>
        <v>Meridian Energy Limited</v>
      </c>
      <c r="B160" s="26" t="str">
        <f t="shared" si="54"/>
        <v>MERI</v>
      </c>
      <c r="C160" s="26" t="str">
        <f t="shared" si="54"/>
        <v>Generator</v>
      </c>
      <c r="D160" s="13">
        <f t="shared" si="41"/>
        <v>10000000</v>
      </c>
      <c r="F160" s="25">
        <f t="shared" si="42"/>
        <v>54302.595095416997</v>
      </c>
      <c r="G160" s="25">
        <f t="shared" si="49"/>
        <v>54.532348720038577</v>
      </c>
      <c r="H160" s="25">
        <f t="shared" si="50"/>
        <v>2961248.0521463361</v>
      </c>
      <c r="I160" s="25">
        <f t="shared" si="43"/>
        <v>1547774.0425861375</v>
      </c>
      <c r="K160" s="25">
        <f t="shared" si="44"/>
        <v>54302.595095416997</v>
      </c>
      <c r="L160" s="25">
        <f t="shared" si="45"/>
        <v>27951.51470014927</v>
      </c>
      <c r="M160" s="83">
        <f t="shared" si="46"/>
        <v>1</v>
      </c>
      <c r="N160" s="25">
        <f t="shared" si="51"/>
        <v>27951.51470014927</v>
      </c>
      <c r="O160" s="60">
        <f t="shared" si="52"/>
        <v>54.53234872003857</v>
      </c>
      <c r="P160" s="25">
        <f t="shared" si="53"/>
        <v>1524261.7468818242</v>
      </c>
      <c r="Q160" s="25">
        <f t="shared" si="47"/>
        <v>110787.7373216257</v>
      </c>
      <c r="S160" s="84">
        <f t="shared" ref="S160" si="55">IFERROR(N160/F160,"")</f>
        <v>0.51473625986077975</v>
      </c>
    </row>
    <row r="161" spans="1:19" x14ac:dyDescent="0.2">
      <c r="A161" s="23" t="str">
        <f t="shared" si="54"/>
        <v>Methanex New Zealand Ltd</v>
      </c>
      <c r="B161" s="26" t="str">
        <f t="shared" si="54"/>
        <v>METH</v>
      </c>
      <c r="C161" s="26" t="str">
        <f t="shared" si="54"/>
        <v>Direct Connect</v>
      </c>
      <c r="D161" s="13">
        <f t="shared" si="41"/>
        <v>10000000</v>
      </c>
      <c r="F161" s="25">
        <f t="shared" si="42"/>
        <v>10918.598363309537</v>
      </c>
      <c r="G161" s="25">
        <f t="shared" si="49"/>
        <v>54.532348720038577</v>
      </c>
      <c r="H161" s="25">
        <f t="shared" si="50"/>
        <v>595416.81348203809</v>
      </c>
      <c r="I161" s="25">
        <f t="shared" si="43"/>
        <v>99315.158050330647</v>
      </c>
      <c r="K161" s="25">
        <f t="shared" si="44"/>
        <v>10918.598363309537</v>
      </c>
      <c r="L161" s="25">
        <f t="shared" si="45"/>
        <v>11128.979532295929</v>
      </c>
      <c r="M161" s="83">
        <f t="shared" si="46"/>
        <v>1</v>
      </c>
      <c r="N161" s="25">
        <f t="shared" si="51"/>
        <v>11128.979532295929</v>
      </c>
      <c r="O161" s="60">
        <f t="shared" si="52"/>
        <v>54.53234872003857</v>
      </c>
      <c r="P161" s="25">
        <f t="shared" si="53"/>
        <v>606889.39275333332</v>
      </c>
      <c r="Q161" s="25">
        <f t="shared" si="47"/>
        <v>110787.73732162587</v>
      </c>
      <c r="S161" s="84">
        <f t="shared" ref="S161:S188" si="56">IFERROR(N161/F161,"")</f>
        <v>1.0192681479788972</v>
      </c>
    </row>
    <row r="162" spans="1:19" x14ac:dyDescent="0.2">
      <c r="A162" s="23" t="str">
        <f t="shared" si="54"/>
        <v>Nelson Electricity Ltd</v>
      </c>
      <c r="B162" s="26" t="str">
        <f t="shared" si="54"/>
        <v>NELS</v>
      </c>
      <c r="C162" s="26" t="str">
        <f t="shared" si="54"/>
        <v>Lines Business</v>
      </c>
      <c r="D162" s="13">
        <f t="shared" si="41"/>
        <v>10000000</v>
      </c>
      <c r="F162" s="25">
        <f t="shared" si="42"/>
        <v>16670.886606987882</v>
      </c>
      <c r="G162" s="25">
        <f t="shared" si="49"/>
        <v>54.532348720038577</v>
      </c>
      <c r="H162" s="25">
        <f t="shared" si="50"/>
        <v>909102.6019244839</v>
      </c>
      <c r="I162" s="25">
        <f t="shared" si="43"/>
        <v>146463.20304880443</v>
      </c>
      <c r="K162" s="25">
        <f t="shared" si="44"/>
        <v>16670.886606987882</v>
      </c>
      <c r="L162" s="25">
        <f t="shared" si="45"/>
        <v>16016.679213311676</v>
      </c>
      <c r="M162" s="83">
        <f t="shared" si="46"/>
        <v>1</v>
      </c>
      <c r="N162" s="25">
        <f t="shared" si="51"/>
        <v>16016.679213311676</v>
      </c>
      <c r="O162" s="60">
        <f t="shared" si="52"/>
        <v>54.53234872003857</v>
      </c>
      <c r="P162" s="25">
        <f t="shared" si="53"/>
        <v>873427.1361973054</v>
      </c>
      <c r="Q162" s="25">
        <f t="shared" si="47"/>
        <v>110787.73732162593</v>
      </c>
      <c r="S162" s="84">
        <f t="shared" si="56"/>
        <v>0.96075749244182462</v>
      </c>
    </row>
    <row r="163" spans="1:19" x14ac:dyDescent="0.2">
      <c r="A163" s="23" t="str">
        <f t="shared" si="54"/>
        <v>Network Tasman Limited</v>
      </c>
      <c r="B163" s="26" t="str">
        <f t="shared" si="54"/>
        <v>TASM</v>
      </c>
      <c r="C163" s="26" t="str">
        <f t="shared" si="54"/>
        <v>Lines Business</v>
      </c>
      <c r="D163" s="13">
        <f t="shared" si="41"/>
        <v>10000000</v>
      </c>
      <c r="F163" s="25">
        <f t="shared" si="42"/>
        <v>148689.29344468526</v>
      </c>
      <c r="G163" s="25">
        <f t="shared" si="49"/>
        <v>54.532348720038577</v>
      </c>
      <c r="H163" s="25">
        <f t="shared" si="50"/>
        <v>8108376.401061723</v>
      </c>
      <c r="I163" s="25">
        <f t="shared" si="43"/>
        <v>106565.55504513066</v>
      </c>
      <c r="K163" s="25">
        <f t="shared" si="44"/>
        <v>148689.29344468526</v>
      </c>
      <c r="L163" s="25">
        <f t="shared" si="45"/>
        <v>148766.71872299432</v>
      </c>
      <c r="M163" s="83">
        <f t="shared" si="46"/>
        <v>1</v>
      </c>
      <c r="N163" s="25">
        <f t="shared" si="51"/>
        <v>148766.71872299432</v>
      </c>
      <c r="O163" s="60">
        <f t="shared" si="52"/>
        <v>54.53234872003857</v>
      </c>
      <c r="P163" s="25">
        <f t="shared" si="53"/>
        <v>8112598.5833382178</v>
      </c>
      <c r="Q163" s="25">
        <f t="shared" si="47"/>
        <v>110787.73732162546</v>
      </c>
      <c r="S163" s="84">
        <f t="shared" si="56"/>
        <v>1.0005207185838021</v>
      </c>
    </row>
    <row r="164" spans="1:19" x14ac:dyDescent="0.2">
      <c r="A164" s="23" t="str">
        <f t="shared" si="54"/>
        <v>Network Waitaki Limited</v>
      </c>
      <c r="B164" s="26" t="str">
        <f t="shared" si="54"/>
        <v>WATA</v>
      </c>
      <c r="C164" s="26" t="str">
        <f t="shared" si="54"/>
        <v>Lines Business</v>
      </c>
      <c r="D164" s="13">
        <f t="shared" si="41"/>
        <v>10000000</v>
      </c>
      <c r="F164" s="25">
        <f t="shared" si="42"/>
        <v>66141.394174806104</v>
      </c>
      <c r="G164" s="25">
        <f t="shared" si="49"/>
        <v>54.532348720038577</v>
      </c>
      <c r="H164" s="25">
        <f t="shared" si="50"/>
        <v>3606845.5719700549</v>
      </c>
      <c r="I164" s="25">
        <f t="shared" si="43"/>
        <v>132372.88060510345</v>
      </c>
      <c r="K164" s="25">
        <f t="shared" si="44"/>
        <v>66141.394174806104</v>
      </c>
      <c r="L164" s="25">
        <f t="shared" si="45"/>
        <v>65745.571442242494</v>
      </c>
      <c r="M164" s="83">
        <f t="shared" si="46"/>
        <v>1</v>
      </c>
      <c r="N164" s="25">
        <f t="shared" si="51"/>
        <v>65745.571442242494</v>
      </c>
      <c r="O164" s="60">
        <f t="shared" si="52"/>
        <v>54.53234872003857</v>
      </c>
      <c r="P164" s="25">
        <f t="shared" si="53"/>
        <v>3585260.4286865769</v>
      </c>
      <c r="Q164" s="25">
        <f t="shared" si="47"/>
        <v>110787.73732162546</v>
      </c>
      <c r="S164" s="84">
        <f t="shared" si="56"/>
        <v>0.99401550666565197</v>
      </c>
    </row>
    <row r="165" spans="1:19" x14ac:dyDescent="0.2">
      <c r="A165" s="48" t="str">
        <f t="shared" si="54"/>
        <v>New Zealand Steel Limited</v>
      </c>
      <c r="B165" s="26" t="str">
        <f t="shared" si="54"/>
        <v>NZST</v>
      </c>
      <c r="C165" s="26" t="str">
        <f t="shared" si="54"/>
        <v>Direct Connect</v>
      </c>
      <c r="D165" s="13">
        <f t="shared" si="41"/>
        <v>10000000</v>
      </c>
      <c r="F165" s="25">
        <f t="shared" si="42"/>
        <v>160116.75527876121</v>
      </c>
      <c r="G165" s="25">
        <f t="shared" si="49"/>
        <v>54.532348720038577</v>
      </c>
      <c r="H165" s="25">
        <f t="shared" si="50"/>
        <v>8731542.7347824834</v>
      </c>
      <c r="I165" s="25">
        <f t="shared" si="43"/>
        <v>79956.364809345454</v>
      </c>
      <c r="K165" s="25">
        <f t="shared" si="44"/>
        <v>160116.75527876121</v>
      </c>
      <c r="L165" s="25">
        <f t="shared" si="45"/>
        <v>160682.13295340646</v>
      </c>
      <c r="M165" s="83">
        <f t="shared" si="46"/>
        <v>1</v>
      </c>
      <c r="N165" s="25">
        <f t="shared" si="51"/>
        <v>160682.13295340646</v>
      </c>
      <c r="O165" s="60">
        <f t="shared" si="52"/>
        <v>54.53234872003857</v>
      </c>
      <c r="P165" s="25">
        <f t="shared" si="53"/>
        <v>8762374.1072947625</v>
      </c>
      <c r="Q165" s="25">
        <f t="shared" si="47"/>
        <v>110787.73732162453</v>
      </c>
      <c r="S165" s="84">
        <f t="shared" si="56"/>
        <v>1.003531033798811</v>
      </c>
    </row>
    <row r="166" spans="1:19" x14ac:dyDescent="0.2">
      <c r="A166" s="48" t="str">
        <f t="shared" si="54"/>
        <v>Nga Awa Purua Joint Venture</v>
      </c>
      <c r="B166" s="26" t="str">
        <f t="shared" si="54"/>
        <v>NAPA</v>
      </c>
      <c r="C166" s="26" t="str">
        <f t="shared" si="54"/>
        <v>Generator</v>
      </c>
      <c r="D166" s="13">
        <f t="shared" si="41"/>
        <v>10000000</v>
      </c>
      <c r="F166" s="25">
        <f t="shared" si="42"/>
        <v>502117.28900851781</v>
      </c>
      <c r="G166" s="25">
        <f t="shared" si="49"/>
        <v>54.532348720038577</v>
      </c>
      <c r="H166" s="25">
        <f t="shared" si="50"/>
        <v>27381635.102572888</v>
      </c>
      <c r="I166" s="25">
        <f t="shared" si="43"/>
        <v>27094293.34804355</v>
      </c>
      <c r="K166" s="25">
        <f t="shared" si="44"/>
        <v>502117.28900851781</v>
      </c>
      <c r="L166" s="25">
        <f t="shared" si="45"/>
        <v>7300.7948712223206</v>
      </c>
      <c r="M166" s="83">
        <f t="shared" si="46"/>
        <v>1</v>
      </c>
      <c r="N166" s="25">
        <f t="shared" si="51"/>
        <v>7300.7948712223206</v>
      </c>
      <c r="O166" s="60">
        <f t="shared" si="52"/>
        <v>54.53234872003857</v>
      </c>
      <c r="P166" s="25">
        <f t="shared" si="53"/>
        <v>398129.49185096467</v>
      </c>
      <c r="Q166" s="25">
        <f t="shared" si="47"/>
        <v>110787.73732162587</v>
      </c>
      <c r="S166" s="84">
        <f t="shared" si="56"/>
        <v>1.454001889805167E-2</v>
      </c>
    </row>
    <row r="167" spans="1:19" x14ac:dyDescent="0.2">
      <c r="A167" s="48" t="str">
        <f t="shared" si="54"/>
        <v>Ngatamariki Geothermal Ltd</v>
      </c>
      <c r="B167" s="26" t="str">
        <f t="shared" si="54"/>
        <v>NTRG</v>
      </c>
      <c r="C167" s="26" t="str">
        <f t="shared" si="54"/>
        <v>Generator</v>
      </c>
      <c r="D167" s="13">
        <f t="shared" si="41"/>
        <v>10000000</v>
      </c>
      <c r="F167" s="25">
        <f t="shared" si="42"/>
        <v>2543156.8045444982</v>
      </c>
      <c r="G167" s="25">
        <f t="shared" si="49"/>
        <v>54.532348720038577</v>
      </c>
      <c r="H167" s="25">
        <f t="shared" si="50"/>
        <v>138684313.71515957</v>
      </c>
      <c r="I167" s="25">
        <f t="shared" si="43"/>
        <v>138596838.3206535</v>
      </c>
      <c r="K167" s="25">
        <f t="shared" si="44"/>
        <v>2543156.8045444982</v>
      </c>
      <c r="L167" s="25">
        <f t="shared" si="45"/>
        <v>3635.6976451823384</v>
      </c>
      <c r="M167" s="83">
        <f t="shared" si="46"/>
        <v>1</v>
      </c>
      <c r="N167" s="25">
        <f t="shared" si="51"/>
        <v>3635.6976451823384</v>
      </c>
      <c r="O167" s="60">
        <f t="shared" si="52"/>
        <v>54.53234872003857</v>
      </c>
      <c r="P167" s="25">
        <f t="shared" si="53"/>
        <v>198263.13182770633</v>
      </c>
      <c r="Q167" s="25">
        <f t="shared" si="47"/>
        <v>110787.73732162589</v>
      </c>
      <c r="S167" s="84">
        <f t="shared" si="56"/>
        <v>1.4296002663640411E-3</v>
      </c>
    </row>
    <row r="168" spans="1:19" x14ac:dyDescent="0.2">
      <c r="A168" s="48" t="str">
        <f t="shared" si="54"/>
        <v>Northpower Limited</v>
      </c>
      <c r="B168" s="26" t="str">
        <f t="shared" si="54"/>
        <v>NPOW</v>
      </c>
      <c r="C168" s="26" t="str">
        <f t="shared" si="54"/>
        <v>Lines Business</v>
      </c>
      <c r="D168" s="13">
        <f t="shared" si="41"/>
        <v>10000000</v>
      </c>
      <c r="F168" s="25">
        <f t="shared" si="42"/>
        <v>182822.71594011973</v>
      </c>
      <c r="G168" s="25">
        <f t="shared" si="49"/>
        <v>54.532348720038577</v>
      </c>
      <c r="H168" s="25">
        <f t="shared" si="50"/>
        <v>9969752.0995911639</v>
      </c>
      <c r="I168" s="25">
        <f t="shared" si="43"/>
        <v>89394.830246733502</v>
      </c>
      <c r="K168" s="25">
        <f t="shared" si="44"/>
        <v>182822.71594011973</v>
      </c>
      <c r="L168" s="25">
        <f t="shared" si="45"/>
        <v>183215.01349518599</v>
      </c>
      <c r="M168" s="83">
        <f t="shared" si="46"/>
        <v>1</v>
      </c>
      <c r="N168" s="25">
        <f t="shared" si="51"/>
        <v>183215.01349518599</v>
      </c>
      <c r="O168" s="60">
        <f t="shared" si="52"/>
        <v>54.53234872003857</v>
      </c>
      <c r="P168" s="25">
        <f t="shared" si="53"/>
        <v>9991145.0066660549</v>
      </c>
      <c r="Q168" s="25">
        <f t="shared" si="47"/>
        <v>110787.73732162453</v>
      </c>
      <c r="S168" s="84">
        <f t="shared" si="56"/>
        <v>1.0021457812452297</v>
      </c>
    </row>
    <row r="169" spans="1:19" x14ac:dyDescent="0.2">
      <c r="A169" s="23" t="str">
        <f t="shared" si="54"/>
        <v>Nova Energy Limited</v>
      </c>
      <c r="B169" s="26" t="str">
        <f t="shared" si="54"/>
        <v>TBOP</v>
      </c>
      <c r="C169" s="26" t="str">
        <f t="shared" si="54"/>
        <v>Generator</v>
      </c>
      <c r="D169" s="13">
        <f t="shared" si="41"/>
        <v>10000000</v>
      </c>
      <c r="F169" s="25">
        <f t="shared" si="42"/>
        <v>9828.5573357158955</v>
      </c>
      <c r="G169" s="25">
        <f t="shared" si="49"/>
        <v>54.532348720038577</v>
      </c>
      <c r="H169" s="25">
        <f t="shared" si="50"/>
        <v>535974.3160461525</v>
      </c>
      <c r="I169" s="25">
        <f t="shared" si="43"/>
        <v>92268.619958970754</v>
      </c>
      <c r="K169" s="25">
        <f t="shared" si="44"/>
        <v>9828.5573357158955</v>
      </c>
      <c r="L169" s="25">
        <f t="shared" si="45"/>
        <v>10168.156083932843</v>
      </c>
      <c r="M169" s="83">
        <f t="shared" si="46"/>
        <v>1</v>
      </c>
      <c r="N169" s="25">
        <f t="shared" si="51"/>
        <v>10168.156083932843</v>
      </c>
      <c r="O169" s="60">
        <f t="shared" si="52"/>
        <v>54.53234872003857</v>
      </c>
      <c r="P169" s="25">
        <f t="shared" si="53"/>
        <v>554493.43340880761</v>
      </c>
      <c r="Q169" s="25">
        <f t="shared" si="47"/>
        <v>110787.73732162587</v>
      </c>
      <c r="S169" s="84">
        <f t="shared" si="56"/>
        <v>1.0345522477630449</v>
      </c>
    </row>
    <row r="170" spans="1:19" x14ac:dyDescent="0.2">
      <c r="A170" s="23" t="str">
        <f t="shared" si="54"/>
        <v>NZ Aluminium Smelters Limited</v>
      </c>
      <c r="B170" s="26" t="str">
        <f t="shared" si="54"/>
        <v>NZAS</v>
      </c>
      <c r="C170" s="26" t="str">
        <f t="shared" si="54"/>
        <v>Direct Connect</v>
      </c>
      <c r="D170" s="13">
        <f t="shared" si="41"/>
        <v>10000000</v>
      </c>
      <c r="F170" s="25">
        <f t="shared" si="42"/>
        <v>591253.34185119113</v>
      </c>
      <c r="G170" s="25">
        <f t="shared" si="49"/>
        <v>54.532348720038577</v>
      </c>
      <c r="H170" s="25">
        <f t="shared" si="50"/>
        <v>32242433.419717334</v>
      </c>
      <c r="I170" s="25">
        <f t="shared" si="43"/>
        <v>63537.571744907647</v>
      </c>
      <c r="K170" s="25">
        <f t="shared" si="44"/>
        <v>591253.34185119113</v>
      </c>
      <c r="L170" s="25">
        <f t="shared" si="45"/>
        <v>592119.80307440553</v>
      </c>
      <c r="M170" s="83">
        <f t="shared" si="46"/>
        <v>1</v>
      </c>
      <c r="N170" s="25">
        <f t="shared" si="51"/>
        <v>592119.80307440553</v>
      </c>
      <c r="O170" s="60">
        <f t="shared" si="52"/>
        <v>54.53234872003857</v>
      </c>
      <c r="P170" s="25">
        <f t="shared" si="53"/>
        <v>32289683.585294049</v>
      </c>
      <c r="Q170" s="25">
        <f t="shared" si="47"/>
        <v>110787.73732162267</v>
      </c>
      <c r="S170" s="84">
        <f t="shared" si="56"/>
        <v>1.0014654652445625</v>
      </c>
    </row>
    <row r="171" spans="1:19" x14ac:dyDescent="0.2">
      <c r="A171" s="23" t="str">
        <f t="shared" si="54"/>
        <v>OMV New Zealand Limited</v>
      </c>
      <c r="B171" s="26" t="str">
        <f t="shared" si="54"/>
        <v>OMVP</v>
      </c>
      <c r="C171" s="26" t="str">
        <f t="shared" si="54"/>
        <v>Direct Connect</v>
      </c>
      <c r="D171" s="13">
        <f t="shared" ref="D171:D194" si="57">$C$136</f>
        <v>10000000</v>
      </c>
      <c r="F171" s="25">
        <f t="shared" ref="F171:F188" si="58">IFERROR($D40+($F40-$E40+D171)*$D105,"")</f>
        <v>0</v>
      </c>
      <c r="G171" s="25">
        <f t="shared" si="49"/>
        <v>54.532348720038577</v>
      </c>
      <c r="H171" s="25">
        <f t="shared" si="50"/>
        <v>0</v>
      </c>
      <c r="I171" s="25">
        <f t="shared" ref="I171:I188" si="59">IFERROR(H171-G105,"")</f>
        <v>0</v>
      </c>
      <c r="K171" s="25">
        <f t="shared" ref="K171:K188" si="60">IFERROR($D40+($F40-$E40+D171)*$D105,"")</f>
        <v>0</v>
      </c>
      <c r="L171" s="25">
        <f t="shared" ref="L171:L188" si="61">IFERROR($D40+($F40-$E40+D171)*$I105,"")</f>
        <v>0</v>
      </c>
      <c r="M171" s="83" t="str">
        <f t="shared" ref="M171:M188" si="62">IFERROR(F40/E40,"")</f>
        <v/>
      </c>
      <c r="N171" s="25">
        <f t="shared" si="51"/>
        <v>0</v>
      </c>
      <c r="O171" s="60">
        <f t="shared" si="52"/>
        <v>54.53234872003857</v>
      </c>
      <c r="P171" s="25">
        <f t="shared" si="53"/>
        <v>0</v>
      </c>
      <c r="Q171" s="25">
        <f t="shared" ref="Q171:Q188" si="63">P171-L105</f>
        <v>0</v>
      </c>
      <c r="S171" s="84" t="str">
        <f t="shared" si="56"/>
        <v/>
      </c>
    </row>
    <row r="172" spans="1:19" x14ac:dyDescent="0.2">
      <c r="A172" s="23" t="str">
        <f t="shared" si="54"/>
        <v>Orion New Zealand Limited</v>
      </c>
      <c r="B172" s="26" t="str">
        <f t="shared" si="54"/>
        <v>ORON</v>
      </c>
      <c r="C172" s="26" t="str">
        <f t="shared" si="54"/>
        <v>Lines Business</v>
      </c>
      <c r="D172" s="13">
        <f t="shared" si="57"/>
        <v>10000000</v>
      </c>
      <c r="F172" s="25">
        <f t="shared" si="58"/>
        <v>755387.09288955678</v>
      </c>
      <c r="G172" s="25">
        <f t="shared" si="49"/>
        <v>54.532348720038577</v>
      </c>
      <c r="H172" s="25">
        <f t="shared" si="50"/>
        <v>41193032.368069485</v>
      </c>
      <c r="I172" s="25">
        <f t="shared" si="59"/>
        <v>124551.58476214111</v>
      </c>
      <c r="K172" s="25">
        <f t="shared" si="60"/>
        <v>755387.09288955678</v>
      </c>
      <c r="L172" s="25">
        <f t="shared" si="61"/>
        <v>755134.69504197512</v>
      </c>
      <c r="M172" s="83">
        <f t="shared" si="62"/>
        <v>1</v>
      </c>
      <c r="N172" s="25">
        <f t="shared" si="51"/>
        <v>755134.69504197512</v>
      </c>
      <c r="O172" s="60">
        <f t="shared" si="52"/>
        <v>54.53234872003857</v>
      </c>
      <c r="P172" s="25">
        <f t="shared" si="53"/>
        <v>41179268.520628966</v>
      </c>
      <c r="Q172" s="25">
        <f t="shared" si="63"/>
        <v>110787.73732162267</v>
      </c>
      <c r="S172" s="84">
        <f t="shared" si="56"/>
        <v>0.99966586952576042</v>
      </c>
    </row>
    <row r="173" spans="1:19" x14ac:dyDescent="0.2">
      <c r="A173" s="23" t="str">
        <f t="shared" si="54"/>
        <v>Pan Pac Forest Product Limited</v>
      </c>
      <c r="B173" s="26" t="str">
        <f t="shared" si="54"/>
        <v>PANP</v>
      </c>
      <c r="C173" s="26" t="str">
        <f t="shared" si="54"/>
        <v>Direct Connect</v>
      </c>
      <c r="D173" s="13">
        <f t="shared" si="57"/>
        <v>10000000</v>
      </c>
      <c r="F173" s="25">
        <f t="shared" si="58"/>
        <v>79237.603819136057</v>
      </c>
      <c r="G173" s="25">
        <f t="shared" si="49"/>
        <v>54.532348720038577</v>
      </c>
      <c r="H173" s="25">
        <f t="shared" si="50"/>
        <v>4321012.6432053884</v>
      </c>
      <c r="I173" s="25">
        <f t="shared" si="59"/>
        <v>82598.076092004776</v>
      </c>
      <c r="K173" s="25">
        <f t="shared" si="60"/>
        <v>79237.603819136057</v>
      </c>
      <c r="L173" s="25">
        <f t="shared" si="61"/>
        <v>79754.538480695264</v>
      </c>
      <c r="M173" s="83">
        <f t="shared" si="62"/>
        <v>1</v>
      </c>
      <c r="N173" s="25">
        <f t="shared" si="51"/>
        <v>79754.538480695264</v>
      </c>
      <c r="O173" s="60">
        <f t="shared" si="52"/>
        <v>54.53234872003857</v>
      </c>
      <c r="P173" s="25">
        <f t="shared" si="53"/>
        <v>4349202.3044350091</v>
      </c>
      <c r="Q173" s="25">
        <f t="shared" si="63"/>
        <v>110787.73732162546</v>
      </c>
      <c r="S173" s="84">
        <f t="shared" si="56"/>
        <v>1.0065238552990463</v>
      </c>
    </row>
    <row r="174" spans="1:19" x14ac:dyDescent="0.2">
      <c r="A174" s="23" t="str">
        <f t="shared" si="54"/>
        <v>Powerco Limited</v>
      </c>
      <c r="B174" s="26" t="str">
        <f t="shared" si="54"/>
        <v>POCO</v>
      </c>
      <c r="C174" s="26" t="str">
        <f t="shared" si="54"/>
        <v>Lines Business</v>
      </c>
      <c r="D174" s="13">
        <f t="shared" si="57"/>
        <v>10000000</v>
      </c>
      <c r="F174" s="25">
        <f t="shared" si="58"/>
        <v>1041733.4142221623</v>
      </c>
      <c r="G174" s="25">
        <f t="shared" si="49"/>
        <v>54.532348720038577</v>
      </c>
      <c r="H174" s="25">
        <f t="shared" si="50"/>
        <v>56808169.817679353</v>
      </c>
      <c r="I174" s="25">
        <f t="shared" si="59"/>
        <v>111076.86347029358</v>
      </c>
      <c r="K174" s="25">
        <f t="shared" si="60"/>
        <v>1041733.4142221623</v>
      </c>
      <c r="L174" s="25">
        <f t="shared" si="61"/>
        <v>1041728.1123021928</v>
      </c>
      <c r="M174" s="83">
        <f t="shared" si="62"/>
        <v>1</v>
      </c>
      <c r="N174" s="25">
        <f t="shared" si="51"/>
        <v>1041728.1123021928</v>
      </c>
      <c r="O174" s="60">
        <f t="shared" si="52"/>
        <v>54.53234872003857</v>
      </c>
      <c r="P174" s="25">
        <f t="shared" si="53"/>
        <v>56807880.691530682</v>
      </c>
      <c r="Q174" s="25">
        <f t="shared" si="63"/>
        <v>110787.73732162267</v>
      </c>
      <c r="S174" s="84">
        <f t="shared" si="56"/>
        <v>0.99999491048295364</v>
      </c>
    </row>
    <row r="175" spans="1:19" x14ac:dyDescent="0.2">
      <c r="A175" s="23" t="str">
        <f t="shared" si="54"/>
        <v>Powernet Ltd</v>
      </c>
      <c r="B175" s="26" t="str">
        <f t="shared" si="54"/>
        <v>POWN</v>
      </c>
      <c r="C175" s="26" t="str">
        <f t="shared" si="54"/>
        <v>Lines Business</v>
      </c>
      <c r="D175" s="13">
        <f t="shared" si="57"/>
        <v>10000000</v>
      </c>
      <c r="F175" s="25">
        <f t="shared" si="58"/>
        <v>283280.88043431344</v>
      </c>
      <c r="G175" s="25">
        <f t="shared" si="49"/>
        <v>54.532348720038577</v>
      </c>
      <c r="H175" s="25">
        <f t="shared" si="50"/>
        <v>15447971.757563533</v>
      </c>
      <c r="I175" s="25">
        <f t="shared" si="59"/>
        <v>103175.84663606063</v>
      </c>
      <c r="K175" s="25">
        <f t="shared" si="60"/>
        <v>283280.88043431344</v>
      </c>
      <c r="L175" s="25">
        <f t="shared" si="61"/>
        <v>283420.46530208876</v>
      </c>
      <c r="M175" s="83">
        <f t="shared" si="62"/>
        <v>1</v>
      </c>
      <c r="N175" s="25">
        <f t="shared" si="51"/>
        <v>283420.46530208876</v>
      </c>
      <c r="O175" s="60">
        <f t="shared" si="52"/>
        <v>54.53234872003857</v>
      </c>
      <c r="P175" s="25">
        <f t="shared" si="53"/>
        <v>15455583.648249095</v>
      </c>
      <c r="Q175" s="25">
        <f t="shared" si="63"/>
        <v>110787.73732162267</v>
      </c>
      <c r="S175" s="84">
        <f t="shared" si="56"/>
        <v>1.0004927436950963</v>
      </c>
    </row>
    <row r="176" spans="1:19" x14ac:dyDescent="0.2">
      <c r="A176" s="23" t="str">
        <f t="shared" si="54"/>
        <v>Scanpower Limited</v>
      </c>
      <c r="B176" s="26" t="str">
        <f t="shared" si="54"/>
        <v>SCAN</v>
      </c>
      <c r="C176" s="26" t="str">
        <f t="shared" si="54"/>
        <v>Lines Business</v>
      </c>
      <c r="D176" s="13">
        <f t="shared" si="57"/>
        <v>10000000</v>
      </c>
      <c r="F176" s="25">
        <f t="shared" si="58"/>
        <v>16968.930043161323</v>
      </c>
      <c r="G176" s="25">
        <f t="shared" si="49"/>
        <v>54.532348720038577</v>
      </c>
      <c r="H176" s="25">
        <f t="shared" si="50"/>
        <v>925355.61051961256</v>
      </c>
      <c r="I176" s="25">
        <f t="shared" si="59"/>
        <v>99960.510753533803</v>
      </c>
      <c r="K176" s="25">
        <f t="shared" si="60"/>
        <v>16968.930043161323</v>
      </c>
      <c r="L176" s="25">
        <f t="shared" si="61"/>
        <v>17167.476902451715</v>
      </c>
      <c r="M176" s="83">
        <f t="shared" si="62"/>
        <v>1</v>
      </c>
      <c r="N176" s="25">
        <f t="shared" si="51"/>
        <v>17167.476902451715</v>
      </c>
      <c r="O176" s="60">
        <f t="shared" si="52"/>
        <v>54.53234872003857</v>
      </c>
      <c r="P176" s="25">
        <f t="shared" si="53"/>
        <v>936182.83708770457</v>
      </c>
      <c r="Q176" s="25">
        <f t="shared" si="63"/>
        <v>110787.73732162581</v>
      </c>
      <c r="S176" s="84">
        <f t="shared" si="56"/>
        <v>1.0117006115757079</v>
      </c>
    </row>
    <row r="177" spans="1:19" x14ac:dyDescent="0.2">
      <c r="A177" s="23" t="str">
        <f t="shared" si="54"/>
        <v>Southpark Utilities Limited</v>
      </c>
      <c r="B177" s="26" t="str">
        <f t="shared" si="54"/>
        <v>SHPK</v>
      </c>
      <c r="C177" s="26" t="str">
        <f t="shared" si="54"/>
        <v>Direct Connect</v>
      </c>
      <c r="D177" s="13">
        <f t="shared" si="57"/>
        <v>10000000</v>
      </c>
      <c r="F177" s="25">
        <f t="shared" si="58"/>
        <v>3886.2232264771665</v>
      </c>
      <c r="G177" s="25">
        <f t="shared" si="49"/>
        <v>54.532348720038577</v>
      </c>
      <c r="H177" s="25">
        <f t="shared" si="50"/>
        <v>211924.8801901663</v>
      </c>
      <c r="I177" s="25">
        <f t="shared" si="59"/>
        <v>202578.5451054142</v>
      </c>
      <c r="K177" s="25">
        <f t="shared" si="60"/>
        <v>3886.2232264771665</v>
      </c>
      <c r="L177" s="25">
        <f t="shared" si="61"/>
        <v>2202.9873135142129</v>
      </c>
      <c r="M177" s="83">
        <f t="shared" si="62"/>
        <v>1</v>
      </c>
      <c r="N177" s="25">
        <f t="shared" si="51"/>
        <v>2202.9873135142129</v>
      </c>
      <c r="O177" s="60">
        <f t="shared" si="52"/>
        <v>54.53234872003857</v>
      </c>
      <c r="P177" s="25">
        <f t="shared" si="53"/>
        <v>120134.07240637799</v>
      </c>
      <c r="Q177" s="25">
        <f t="shared" si="63"/>
        <v>110787.73732162589</v>
      </c>
      <c r="S177" s="84">
        <f t="shared" si="56"/>
        <v>0.56687101721411026</v>
      </c>
    </row>
    <row r="178" spans="1:19" x14ac:dyDescent="0.2">
      <c r="A178" s="23" t="str">
        <f t="shared" ref="A178:C188" si="64">A47</f>
        <v>Tararua Wind Power</v>
      </c>
      <c r="B178" s="26" t="str">
        <f t="shared" si="64"/>
        <v>TARW</v>
      </c>
      <c r="C178" s="26" t="str">
        <f t="shared" si="64"/>
        <v>Generator</v>
      </c>
      <c r="D178" s="13">
        <f t="shared" si="57"/>
        <v>10000000</v>
      </c>
      <c r="F178" s="25">
        <f t="shared" si="58"/>
        <v>20530.472303052138</v>
      </c>
      <c r="G178" s="25">
        <f t="shared" si="49"/>
        <v>54.532348720038577</v>
      </c>
      <c r="H178" s="25">
        <f t="shared" si="50"/>
        <v>1119574.8750171326</v>
      </c>
      <c r="I178" s="25">
        <f t="shared" si="59"/>
        <v>1059222.9593923024</v>
      </c>
      <c r="K178" s="25">
        <f t="shared" si="60"/>
        <v>20530.472303052138</v>
      </c>
      <c r="L178" s="25">
        <f t="shared" si="61"/>
        <v>3138.3143576863545</v>
      </c>
      <c r="M178" s="83">
        <f t="shared" si="62"/>
        <v>1</v>
      </c>
      <c r="N178" s="25">
        <f t="shared" si="51"/>
        <v>3138.3143576863545</v>
      </c>
      <c r="O178" s="60">
        <f t="shared" si="52"/>
        <v>54.53234872003857</v>
      </c>
      <c r="P178" s="25">
        <f t="shared" si="53"/>
        <v>171139.65294645613</v>
      </c>
      <c r="Q178" s="25">
        <f t="shared" si="63"/>
        <v>110787.7373216259</v>
      </c>
      <c r="S178" s="84">
        <f t="shared" si="56"/>
        <v>0.15286128401536095</v>
      </c>
    </row>
    <row r="179" spans="1:19" x14ac:dyDescent="0.2">
      <c r="A179" s="23" t="str">
        <f t="shared" si="64"/>
        <v>The Lines Company Ltd</v>
      </c>
      <c r="B179" s="26" t="str">
        <f t="shared" si="64"/>
        <v>WTOM</v>
      </c>
      <c r="C179" s="26" t="str">
        <f t="shared" si="64"/>
        <v>Lines Business</v>
      </c>
      <c r="D179" s="13">
        <f t="shared" si="57"/>
        <v>10000000</v>
      </c>
      <c r="F179" s="25">
        <f t="shared" si="58"/>
        <v>79754.025961695152</v>
      </c>
      <c r="G179" s="25">
        <f t="shared" si="49"/>
        <v>54.532348720038577</v>
      </c>
      <c r="H179" s="25">
        <f t="shared" si="50"/>
        <v>4349174.3555701701</v>
      </c>
      <c r="I179" s="25">
        <f t="shared" si="59"/>
        <v>128854.41476511396</v>
      </c>
      <c r="K179" s="25">
        <f t="shared" si="60"/>
        <v>79754.025961695152</v>
      </c>
      <c r="L179" s="25">
        <f t="shared" si="61"/>
        <v>79422.72393881256</v>
      </c>
      <c r="M179" s="83">
        <f t="shared" si="62"/>
        <v>1</v>
      </c>
      <c r="N179" s="25">
        <f t="shared" si="51"/>
        <v>79422.72393881256</v>
      </c>
      <c r="O179" s="60">
        <f t="shared" si="52"/>
        <v>54.53234872003857</v>
      </c>
      <c r="P179" s="25">
        <f t="shared" si="53"/>
        <v>4331107.6781266816</v>
      </c>
      <c r="Q179" s="25">
        <f t="shared" si="63"/>
        <v>110787.73732162546</v>
      </c>
      <c r="S179" s="84">
        <f t="shared" si="56"/>
        <v>0.99584595236556817</v>
      </c>
    </row>
    <row r="180" spans="1:19" ht="15.75" customHeight="1" x14ac:dyDescent="0.2">
      <c r="A180" s="23" t="str">
        <f t="shared" si="64"/>
        <v>Top Energy Ltd</v>
      </c>
      <c r="B180" s="26" t="str">
        <f t="shared" si="64"/>
        <v>TOPE</v>
      </c>
      <c r="C180" s="26" t="str">
        <f t="shared" si="64"/>
        <v>Lines Business</v>
      </c>
      <c r="D180" s="13">
        <f t="shared" si="57"/>
        <v>10000000</v>
      </c>
      <c r="F180" s="25">
        <f t="shared" si="58"/>
        <v>71725.617253611781</v>
      </c>
      <c r="G180" s="25">
        <f t="shared" si="49"/>
        <v>54.532348720038577</v>
      </c>
      <c r="H180" s="25">
        <f t="shared" si="50"/>
        <v>3911366.3722339734</v>
      </c>
      <c r="I180" s="25">
        <f t="shared" si="59"/>
        <v>106027.65015003271</v>
      </c>
      <c r="K180" s="25">
        <f t="shared" si="60"/>
        <v>71725.617253611781</v>
      </c>
      <c r="L180" s="25">
        <f t="shared" si="61"/>
        <v>71812.9064917121</v>
      </c>
      <c r="M180" s="83">
        <f t="shared" si="62"/>
        <v>1</v>
      </c>
      <c r="N180" s="25">
        <f t="shared" si="51"/>
        <v>71812.9064917121</v>
      </c>
      <c r="O180" s="60">
        <f t="shared" si="52"/>
        <v>54.53234872003857</v>
      </c>
      <c r="P180" s="25">
        <f t="shared" si="53"/>
        <v>3916126.4594055656</v>
      </c>
      <c r="Q180" s="25">
        <f t="shared" si="63"/>
        <v>110787.737321625</v>
      </c>
      <c r="S180" s="84">
        <f t="shared" si="56"/>
        <v>1.0012169883152302</v>
      </c>
    </row>
    <row r="181" spans="1:19" x14ac:dyDescent="0.2">
      <c r="A181" s="23" t="str">
        <f t="shared" si="64"/>
        <v>Unison Networks Limited</v>
      </c>
      <c r="B181" s="26" t="str">
        <f t="shared" si="64"/>
        <v>UNIS</v>
      </c>
      <c r="C181" s="26" t="str">
        <f t="shared" si="64"/>
        <v>Lines Business</v>
      </c>
      <c r="D181" s="13">
        <f t="shared" si="57"/>
        <v>10000000</v>
      </c>
      <c r="F181" s="25">
        <f t="shared" si="58"/>
        <v>365512.13125025172</v>
      </c>
      <c r="G181" s="25">
        <f t="shared" si="49"/>
        <v>54.532348720038577</v>
      </c>
      <c r="H181" s="25">
        <f t="shared" si="50"/>
        <v>19932235.002743237</v>
      </c>
      <c r="I181" s="25">
        <f t="shared" si="59"/>
        <v>117723.83676651865</v>
      </c>
      <c r="K181" s="25">
        <f t="shared" si="60"/>
        <v>365512.13125025172</v>
      </c>
      <c r="L181" s="25">
        <f t="shared" si="61"/>
        <v>365384.93886614038</v>
      </c>
      <c r="M181" s="83">
        <f t="shared" si="62"/>
        <v>1</v>
      </c>
      <c r="N181" s="25">
        <f t="shared" si="51"/>
        <v>365384.93886614038</v>
      </c>
      <c r="O181" s="60">
        <f t="shared" si="52"/>
        <v>54.53234872003857</v>
      </c>
      <c r="P181" s="25">
        <f t="shared" si="53"/>
        <v>19925298.903298341</v>
      </c>
      <c r="Q181" s="25">
        <f t="shared" si="63"/>
        <v>110787.73732162267</v>
      </c>
      <c r="S181" s="84">
        <f t="shared" si="56"/>
        <v>0.99965201597091657</v>
      </c>
    </row>
    <row r="182" spans="1:19" x14ac:dyDescent="0.2">
      <c r="A182" s="23" t="str">
        <f t="shared" si="64"/>
        <v>Vector Limited</v>
      </c>
      <c r="B182" s="26" t="str">
        <f t="shared" si="64"/>
        <v>VECT</v>
      </c>
      <c r="C182" s="26" t="str">
        <f t="shared" si="64"/>
        <v>Lines Business</v>
      </c>
      <c r="D182" s="13">
        <f t="shared" si="57"/>
        <v>10000000</v>
      </c>
      <c r="F182" s="25">
        <f t="shared" si="58"/>
        <v>1991809.3514445645</v>
      </c>
      <c r="G182" s="25">
        <f t="shared" si="49"/>
        <v>54.532348720038577</v>
      </c>
      <c r="H182" s="25">
        <f t="shared" si="50"/>
        <v>108618042.13680887</v>
      </c>
      <c r="I182" s="25">
        <f t="shared" si="59"/>
        <v>124544.47692856193</v>
      </c>
      <c r="K182" s="25">
        <f t="shared" si="60"/>
        <v>1991809.3514445645</v>
      </c>
      <c r="L182" s="25">
        <f t="shared" si="61"/>
        <v>1991557.0839385828</v>
      </c>
      <c r="M182" s="83">
        <f t="shared" si="62"/>
        <v>1</v>
      </c>
      <c r="N182" s="25">
        <f t="shared" si="51"/>
        <v>1991557.0839385828</v>
      </c>
      <c r="O182" s="60">
        <f t="shared" si="52"/>
        <v>54.53234872003857</v>
      </c>
      <c r="P182" s="25">
        <f t="shared" si="53"/>
        <v>108604285.39720193</v>
      </c>
      <c r="Q182" s="25">
        <f t="shared" si="63"/>
        <v>110787.73732161522</v>
      </c>
      <c r="S182" s="84">
        <f t="shared" si="56"/>
        <v>0.99987334756421398</v>
      </c>
    </row>
    <row r="183" spans="1:19" x14ac:dyDescent="0.2">
      <c r="A183" s="23" t="str">
        <f t="shared" si="64"/>
        <v>Waipa Networks Limited</v>
      </c>
      <c r="B183" s="26" t="str">
        <f t="shared" si="64"/>
        <v>WAIP</v>
      </c>
      <c r="C183" s="26" t="str">
        <f t="shared" si="64"/>
        <v>Lines Business</v>
      </c>
      <c r="D183" s="13">
        <f t="shared" si="57"/>
        <v>10000000</v>
      </c>
      <c r="F183" s="25">
        <f t="shared" si="58"/>
        <v>77368.226805981394</v>
      </c>
      <c r="G183" s="25">
        <f t="shared" si="49"/>
        <v>54.532348720038577</v>
      </c>
      <c r="H183" s="25">
        <f t="shared" si="50"/>
        <v>4219071.1240348136</v>
      </c>
      <c r="I183" s="25">
        <f t="shared" si="59"/>
        <v>102048.82650658814</v>
      </c>
      <c r="K183" s="25">
        <f t="shared" si="60"/>
        <v>77368.226805981394</v>
      </c>
      <c r="L183" s="25">
        <f t="shared" si="61"/>
        <v>77528.478675195787</v>
      </c>
      <c r="M183" s="83">
        <f t="shared" si="62"/>
        <v>1</v>
      </c>
      <c r="N183" s="25">
        <f t="shared" si="51"/>
        <v>77528.478675195787</v>
      </c>
      <c r="O183" s="60">
        <f t="shared" si="52"/>
        <v>54.53234872003857</v>
      </c>
      <c r="P183" s="25">
        <f t="shared" si="53"/>
        <v>4227810.0348498505</v>
      </c>
      <c r="Q183" s="25">
        <f t="shared" si="63"/>
        <v>110787.737321625</v>
      </c>
      <c r="S183" s="84">
        <f t="shared" si="56"/>
        <v>1.0020712878636375</v>
      </c>
    </row>
    <row r="184" spans="1:19" x14ac:dyDescent="0.2">
      <c r="A184" s="23" t="str">
        <f t="shared" si="64"/>
        <v>WEL Networks Limited</v>
      </c>
      <c r="B184" s="26" t="str">
        <f t="shared" si="64"/>
        <v>WELE</v>
      </c>
      <c r="C184" s="26" t="str">
        <f t="shared" si="64"/>
        <v>Lines Business</v>
      </c>
      <c r="D184" s="13">
        <f t="shared" si="57"/>
        <v>10000000</v>
      </c>
      <c r="F184" s="25">
        <f t="shared" si="58"/>
        <v>296680.23089190287</v>
      </c>
      <c r="G184" s="25">
        <f t="shared" si="49"/>
        <v>54.532348720038577</v>
      </c>
      <c r="H184" s="25">
        <f t="shared" si="50"/>
        <v>16178669.80933881</v>
      </c>
      <c r="I184" s="25">
        <f t="shared" si="59"/>
        <v>116988.91222466715</v>
      </c>
      <c r="K184" s="25">
        <f t="shared" si="60"/>
        <v>296680.23089190287</v>
      </c>
      <c r="L184" s="25">
        <f t="shared" si="61"/>
        <v>296566.51536252274</v>
      </c>
      <c r="M184" s="83">
        <f t="shared" si="62"/>
        <v>1</v>
      </c>
      <c r="N184" s="25">
        <f t="shared" si="51"/>
        <v>296566.51536252274</v>
      </c>
      <c r="O184" s="60">
        <f t="shared" si="52"/>
        <v>54.53234872003857</v>
      </c>
      <c r="P184" s="25">
        <f t="shared" si="53"/>
        <v>16172468.634435765</v>
      </c>
      <c r="Q184" s="25">
        <f t="shared" si="63"/>
        <v>110787.73732162267</v>
      </c>
      <c r="S184" s="84">
        <f t="shared" si="56"/>
        <v>0.9996167067517836</v>
      </c>
    </row>
    <row r="185" spans="1:19" x14ac:dyDescent="0.2">
      <c r="A185" s="23" t="str">
        <f t="shared" si="64"/>
        <v>Wellington Electricity Lines Limited</v>
      </c>
      <c r="B185" s="26" t="str">
        <f t="shared" si="64"/>
        <v>UNET</v>
      </c>
      <c r="C185" s="26" t="str">
        <f t="shared" si="64"/>
        <v>Lines Business</v>
      </c>
      <c r="D185" s="13">
        <f t="shared" si="57"/>
        <v>10000000</v>
      </c>
      <c r="F185" s="25">
        <f t="shared" si="58"/>
        <v>569657.73709440487</v>
      </c>
      <c r="G185" s="25">
        <f t="shared" si="49"/>
        <v>54.532348720038577</v>
      </c>
      <c r="H185" s="25">
        <f t="shared" si="50"/>
        <v>31064774.37030014</v>
      </c>
      <c r="I185" s="25">
        <f t="shared" si="59"/>
        <v>127140.55820575729</v>
      </c>
      <c r="K185" s="25">
        <f t="shared" si="60"/>
        <v>569657.73709440487</v>
      </c>
      <c r="L185" s="25">
        <f t="shared" si="61"/>
        <v>569357.8633264862</v>
      </c>
      <c r="M185" s="83">
        <f t="shared" si="62"/>
        <v>1</v>
      </c>
      <c r="N185" s="25">
        <f t="shared" si="51"/>
        <v>569357.8633264862</v>
      </c>
      <c r="O185" s="60">
        <f t="shared" si="52"/>
        <v>54.53234872003857</v>
      </c>
      <c r="P185" s="25">
        <f t="shared" si="53"/>
        <v>31048421.549416006</v>
      </c>
      <c r="Q185" s="25">
        <f t="shared" si="63"/>
        <v>110787.73732162267</v>
      </c>
      <c r="S185" s="84">
        <f t="shared" si="56"/>
        <v>0.99947358958126642</v>
      </c>
    </row>
    <row r="186" spans="1:19" x14ac:dyDescent="0.2">
      <c r="A186" s="23" t="str">
        <f t="shared" si="64"/>
        <v>Westpower Limited</v>
      </c>
      <c r="B186" s="26" t="str">
        <f t="shared" si="64"/>
        <v>WPOW</v>
      </c>
      <c r="C186" s="26" t="str">
        <f t="shared" si="64"/>
        <v>Lines Business</v>
      </c>
      <c r="D186" s="13">
        <f t="shared" si="57"/>
        <v>10000000</v>
      </c>
      <c r="F186" s="25">
        <f t="shared" si="58"/>
        <v>55491.950449740187</v>
      </c>
      <c r="G186" s="25">
        <f t="shared" si="49"/>
        <v>54.532348720038577</v>
      </c>
      <c r="H186" s="25">
        <f t="shared" si="50"/>
        <v>3026106.3930803332</v>
      </c>
      <c r="I186" s="25">
        <f t="shared" si="59"/>
        <v>115176.51302838279</v>
      </c>
      <c r="K186" s="25">
        <f t="shared" si="60"/>
        <v>55491.950449740187</v>
      </c>
      <c r="L186" s="25">
        <f t="shared" si="61"/>
        <v>55411.470224520315</v>
      </c>
      <c r="M186" s="83">
        <f t="shared" si="62"/>
        <v>1</v>
      </c>
      <c r="N186" s="25">
        <f t="shared" si="51"/>
        <v>55411.470224520315</v>
      </c>
      <c r="O186" s="60">
        <f t="shared" si="52"/>
        <v>54.53234872003857</v>
      </c>
      <c r="P186" s="25">
        <f t="shared" si="53"/>
        <v>3021717.6173735759</v>
      </c>
      <c r="Q186" s="25">
        <f t="shared" si="63"/>
        <v>110787.73732162546</v>
      </c>
      <c r="S186" s="84">
        <f t="shared" si="56"/>
        <v>0.99854969550416572</v>
      </c>
    </row>
    <row r="187" spans="1:19" x14ac:dyDescent="0.2">
      <c r="A187" s="23" t="str">
        <f t="shared" si="64"/>
        <v>Whareroa Cogeneration Limited</v>
      </c>
      <c r="B187" s="26" t="str">
        <f t="shared" si="64"/>
        <v>KIWI</v>
      </c>
      <c r="C187" s="26" t="str">
        <f t="shared" si="64"/>
        <v>Direct Connect</v>
      </c>
      <c r="D187" s="13">
        <f t="shared" si="57"/>
        <v>10000000</v>
      </c>
      <c r="F187" s="25">
        <f t="shared" si="58"/>
        <v>30806.964212188544</v>
      </c>
      <c r="G187" s="25">
        <f t="shared" si="49"/>
        <v>54.532348720038577</v>
      </c>
      <c r="H187" s="25">
        <f t="shared" ref="H187" si="65">IFERROR(G187*F187,"")</f>
        <v>1679976.1154248142</v>
      </c>
      <c r="I187" s="25">
        <f t="shared" si="59"/>
        <v>99061.866335224127</v>
      </c>
      <c r="K187" s="25">
        <f t="shared" si="60"/>
        <v>30806.964212188544</v>
      </c>
      <c r="L187" s="25">
        <f t="shared" si="61"/>
        <v>31021.990178640139</v>
      </c>
      <c r="M187" s="83">
        <f t="shared" si="62"/>
        <v>1</v>
      </c>
      <c r="N187" s="25">
        <f t="shared" si="51"/>
        <v>31021.990178640139</v>
      </c>
      <c r="O187" s="60">
        <f t="shared" si="52"/>
        <v>54.53234872003857</v>
      </c>
      <c r="P187" s="25">
        <f t="shared" ref="P187" si="66">O187*N187</f>
        <v>1691701.9864112157</v>
      </c>
      <c r="Q187" s="25">
        <f t="shared" si="63"/>
        <v>110787.7373216257</v>
      </c>
      <c r="S187" s="84">
        <f t="shared" si="56"/>
        <v>1.0069797843426105</v>
      </c>
    </row>
    <row r="188" spans="1:19" x14ac:dyDescent="0.2">
      <c r="A188" s="23" t="str">
        <f t="shared" si="64"/>
        <v>Winstone Pulp International</v>
      </c>
      <c r="B188" s="26" t="str">
        <f t="shared" si="64"/>
        <v>WNST</v>
      </c>
      <c r="C188" s="26" t="str">
        <f t="shared" si="64"/>
        <v>Direct Connect</v>
      </c>
      <c r="D188" s="13">
        <f t="shared" si="57"/>
        <v>10000000</v>
      </c>
      <c r="F188" s="25">
        <f t="shared" si="58"/>
        <v>37910.926352656446</v>
      </c>
      <c r="G188" s="25">
        <f t="shared" si="49"/>
        <v>54.532348720038577</v>
      </c>
      <c r="H188" s="25">
        <f t="shared" si="50"/>
        <v>2067371.8561627616</v>
      </c>
      <c r="I188" s="25">
        <f t="shared" si="59"/>
        <v>82528.506762170233</v>
      </c>
      <c r="K188" s="25">
        <f t="shared" si="60"/>
        <v>37910.926352656446</v>
      </c>
      <c r="L188" s="25">
        <f t="shared" si="61"/>
        <v>38429.136758456763</v>
      </c>
      <c r="M188" s="83">
        <f t="shared" si="62"/>
        <v>1</v>
      </c>
      <c r="N188" s="25">
        <f t="shared" si="51"/>
        <v>38429.136758456763</v>
      </c>
      <c r="O188" s="60">
        <f t="shared" si="52"/>
        <v>54.53234872003857</v>
      </c>
      <c r="P188" s="25">
        <f t="shared" si="53"/>
        <v>2095631.0867222168</v>
      </c>
      <c r="Q188" s="25">
        <f t="shared" si="63"/>
        <v>110787.73732162546</v>
      </c>
      <c r="S188" s="84">
        <f t="shared" si="56"/>
        <v>1.0136691570387861</v>
      </c>
    </row>
    <row r="189" spans="1:19" x14ac:dyDescent="0.2">
      <c r="A189" s="23" t="str">
        <f t="shared" ref="A189:C194" si="67">A58</f>
        <v>Kawerau Geothermal Limited</v>
      </c>
      <c r="B189" s="23" t="str">
        <f t="shared" si="67"/>
        <v>KWGL</v>
      </c>
      <c r="C189" s="23" t="str">
        <f t="shared" si="67"/>
        <v>Generator</v>
      </c>
      <c r="D189" s="13">
        <f t="shared" si="57"/>
        <v>10000000</v>
      </c>
      <c r="F189" s="23"/>
      <c r="G189" s="23"/>
      <c r="H189" s="23"/>
      <c r="I189" s="23"/>
      <c r="K189" s="23"/>
      <c r="L189" s="23"/>
      <c r="M189" s="23"/>
      <c r="N189" s="23"/>
      <c r="O189" s="23"/>
      <c r="P189" s="23"/>
      <c r="Q189" s="23"/>
      <c r="S189" s="23"/>
    </row>
    <row r="190" spans="1:19" x14ac:dyDescent="0.2">
      <c r="A190" s="23" t="str">
        <f t="shared" si="67"/>
        <v>Oji Fibre Solutions (NZ) Ltd</v>
      </c>
      <c r="B190" s="23" t="str">
        <f t="shared" si="67"/>
        <v>CHHE</v>
      </c>
      <c r="C190" s="23" t="str">
        <f t="shared" si="67"/>
        <v>Direct Connect</v>
      </c>
      <c r="D190" s="13">
        <f t="shared" si="57"/>
        <v>10000000</v>
      </c>
      <c r="F190" s="23"/>
      <c r="G190" s="23"/>
      <c r="H190" s="23"/>
      <c r="I190" s="23"/>
      <c r="K190" s="23"/>
      <c r="L190" s="23"/>
      <c r="M190" s="23"/>
      <c r="N190" s="23"/>
      <c r="O190" s="23"/>
      <c r="P190" s="23"/>
      <c r="Q190" s="23"/>
      <c r="S190" s="23"/>
    </row>
    <row r="191" spans="1:19" x14ac:dyDescent="0.2">
      <c r="A191" s="23" t="str">
        <f t="shared" si="67"/>
        <v>Resolution Development Ltd</v>
      </c>
      <c r="B191" s="23" t="str">
        <f t="shared" si="67"/>
        <v>SOLE</v>
      </c>
      <c r="C191" s="23" t="str">
        <f t="shared" si="67"/>
        <v>Generator</v>
      </c>
      <c r="D191" s="13">
        <f t="shared" si="57"/>
        <v>10000000</v>
      </c>
      <c r="F191" s="23"/>
      <c r="G191" s="23"/>
      <c r="H191" s="23"/>
      <c r="I191" s="23"/>
      <c r="K191" s="23"/>
      <c r="L191" s="23"/>
      <c r="M191" s="23"/>
      <c r="N191" s="23"/>
      <c r="O191" s="23"/>
      <c r="P191" s="23"/>
      <c r="Q191" s="23"/>
      <c r="S191" s="23"/>
    </row>
    <row r="192" spans="1:19" x14ac:dyDescent="0.2">
      <c r="A192" s="23" t="str">
        <f t="shared" si="67"/>
        <v>Southern Generation GP Limited</v>
      </c>
      <c r="B192" s="23" t="str">
        <f t="shared" si="67"/>
        <v>SOU2</v>
      </c>
      <c r="C192" s="23" t="str">
        <f t="shared" si="67"/>
        <v>Generator</v>
      </c>
      <c r="D192" s="13">
        <f t="shared" si="57"/>
        <v>10000000</v>
      </c>
      <c r="F192" s="23"/>
      <c r="G192" s="23"/>
      <c r="H192" s="23"/>
      <c r="I192" s="23"/>
      <c r="K192" s="23"/>
      <c r="L192" s="23"/>
      <c r="M192" s="23"/>
      <c r="N192" s="23"/>
      <c r="O192" s="23"/>
      <c r="P192" s="23"/>
      <c r="Q192" s="23"/>
      <c r="S192" s="23"/>
    </row>
    <row r="193" spans="1:19" x14ac:dyDescent="0.2">
      <c r="A193" s="23" t="str">
        <f t="shared" si="67"/>
        <v>Waverley Windfarm Limited</v>
      </c>
      <c r="B193" s="23" t="str">
        <f t="shared" si="67"/>
        <v>WAV1</v>
      </c>
      <c r="C193" s="23" t="str">
        <f t="shared" si="67"/>
        <v>Generator</v>
      </c>
      <c r="D193" s="13">
        <f t="shared" si="57"/>
        <v>10000000</v>
      </c>
      <c r="F193" s="23"/>
      <c r="G193" s="23"/>
      <c r="H193" s="23"/>
      <c r="I193" s="23"/>
      <c r="K193" s="23"/>
      <c r="L193" s="23"/>
      <c r="M193" s="23"/>
      <c r="N193" s="23"/>
      <c r="O193" s="23"/>
      <c r="P193" s="23"/>
      <c r="Q193" s="23"/>
      <c r="S193" s="23"/>
    </row>
    <row r="194" spans="1:19" x14ac:dyDescent="0.2">
      <c r="A194" s="23" t="str">
        <f t="shared" si="67"/>
        <v>Mercury NZ Limited</v>
      </c>
      <c r="B194" s="23" t="str">
        <f t="shared" si="67"/>
        <v>SCGL</v>
      </c>
      <c r="C194" s="23" t="str">
        <f t="shared" si="67"/>
        <v>Generator</v>
      </c>
      <c r="D194" s="13">
        <f t="shared" si="57"/>
        <v>10000000</v>
      </c>
      <c r="F194" s="23"/>
      <c r="G194" s="23"/>
      <c r="H194" s="23"/>
      <c r="I194" s="23"/>
      <c r="K194" s="23"/>
      <c r="L194" s="23"/>
      <c r="M194" s="23"/>
      <c r="N194" s="23"/>
      <c r="O194" s="23"/>
      <c r="P194" s="23"/>
      <c r="Q194" s="23"/>
      <c r="S194" s="23"/>
    </row>
    <row r="289" spans="4:14" x14ac:dyDescent="0.2">
      <c r="D289" s="1"/>
      <c r="F289" s="1"/>
      <c r="H289" s="1"/>
      <c r="I289" s="1"/>
      <c r="J289" s="1"/>
      <c r="K289" s="1"/>
      <c r="L289" s="1"/>
      <c r="M289" s="1"/>
      <c r="N289" s="1"/>
    </row>
    <row r="290" spans="4:14" x14ac:dyDescent="0.2">
      <c r="D290" s="1"/>
      <c r="F290" s="1"/>
      <c r="H290" s="1"/>
      <c r="I290" s="1"/>
      <c r="J290" s="1"/>
      <c r="K290" s="1"/>
      <c r="L290" s="1"/>
      <c r="M290" s="1"/>
      <c r="N290" s="1"/>
    </row>
    <row r="291" spans="4:14" x14ac:dyDescent="0.2">
      <c r="D291" s="1"/>
      <c r="F291" s="1"/>
      <c r="H291" s="1"/>
      <c r="I291" s="1"/>
      <c r="J291" s="1"/>
      <c r="K291" s="1"/>
      <c r="L291" s="1"/>
      <c r="M291" s="1"/>
      <c r="N291" s="1"/>
    </row>
    <row r="292" spans="4:14" x14ac:dyDescent="0.2">
      <c r="D292" s="1"/>
      <c r="F292" s="1"/>
      <c r="H292" s="1"/>
      <c r="I292" s="1"/>
      <c r="J292" s="1"/>
      <c r="K292" s="1"/>
      <c r="L292" s="1"/>
      <c r="M292" s="1"/>
      <c r="N292" s="1"/>
    </row>
    <row r="293" spans="4:14" x14ac:dyDescent="0.2">
      <c r="D293" s="1"/>
      <c r="F293" s="1"/>
      <c r="H293" s="1"/>
      <c r="I293" s="1"/>
      <c r="J293" s="1"/>
      <c r="K293" s="1"/>
      <c r="L293" s="1"/>
      <c r="M293" s="1"/>
      <c r="N293" s="1"/>
    </row>
    <row r="294" spans="4:14" x14ac:dyDescent="0.2">
      <c r="D294" s="1"/>
      <c r="F294" s="1"/>
      <c r="H294" s="1"/>
      <c r="I294" s="1"/>
      <c r="J294" s="1"/>
      <c r="K294" s="1"/>
      <c r="L294" s="1"/>
      <c r="M294" s="1"/>
      <c r="N294" s="1"/>
    </row>
    <row r="295" spans="4:14" x14ac:dyDescent="0.2">
      <c r="D295" s="1"/>
      <c r="F295" s="1"/>
      <c r="H295" s="1"/>
      <c r="I295" s="1"/>
      <c r="J295" s="1"/>
      <c r="K295" s="1"/>
      <c r="L295" s="1"/>
      <c r="M295" s="1"/>
      <c r="N295" s="1"/>
    </row>
    <row r="296" spans="4:14" x14ac:dyDescent="0.2">
      <c r="D296" s="1"/>
      <c r="F296" s="1"/>
      <c r="H296" s="1"/>
      <c r="I296" s="1"/>
      <c r="J296" s="1"/>
      <c r="K296" s="1"/>
      <c r="L296" s="1"/>
      <c r="M296" s="1"/>
      <c r="N296" s="1"/>
    </row>
    <row r="297" spans="4:14" x14ac:dyDescent="0.2">
      <c r="D297" s="1"/>
      <c r="F297" s="1"/>
      <c r="H297" s="1"/>
      <c r="I297" s="1"/>
      <c r="J297" s="1"/>
      <c r="K297" s="1"/>
      <c r="L297" s="1"/>
      <c r="M297" s="1"/>
      <c r="N297" s="1"/>
    </row>
    <row r="298" spans="4:14" x14ac:dyDescent="0.2">
      <c r="D298" s="1"/>
      <c r="F298" s="1"/>
      <c r="H298" s="1"/>
      <c r="I298" s="1"/>
      <c r="J298" s="1"/>
      <c r="K298" s="1"/>
      <c r="L298" s="1"/>
      <c r="M298" s="1"/>
      <c r="N298" s="1"/>
    </row>
    <row r="299" spans="4:14" x14ac:dyDescent="0.2">
      <c r="D299" s="1"/>
      <c r="F299" s="1"/>
      <c r="H299" s="1"/>
      <c r="I299" s="1"/>
      <c r="J299" s="1"/>
      <c r="K299" s="1"/>
      <c r="L299" s="1"/>
      <c r="M299" s="1"/>
      <c r="N299" s="1"/>
    </row>
    <row r="300" spans="4:14" x14ac:dyDescent="0.2">
      <c r="D300" s="1"/>
      <c r="F300" s="1"/>
      <c r="H300" s="1"/>
      <c r="I300" s="1"/>
      <c r="J300" s="1"/>
      <c r="K300" s="1"/>
      <c r="L300" s="1"/>
      <c r="M300" s="1"/>
      <c r="N300" s="1"/>
    </row>
    <row r="301" spans="4:14" x14ac:dyDescent="0.2">
      <c r="D301" s="1"/>
      <c r="F301" s="1"/>
      <c r="H301" s="1"/>
      <c r="I301" s="1"/>
      <c r="J301" s="1"/>
      <c r="K301" s="1"/>
      <c r="L301" s="1"/>
      <c r="M301" s="1"/>
      <c r="N301" s="1"/>
    </row>
    <row r="302" spans="4:14" x14ac:dyDescent="0.2">
      <c r="D302" s="1"/>
      <c r="F302" s="1"/>
      <c r="H302" s="1"/>
      <c r="I302" s="1"/>
      <c r="J302" s="1"/>
      <c r="K302" s="1"/>
      <c r="L302" s="1"/>
      <c r="M302" s="1"/>
      <c r="N302" s="1"/>
    </row>
    <row r="303" spans="4:14" x14ac:dyDescent="0.2">
      <c r="D303" s="1"/>
      <c r="F303" s="1"/>
      <c r="H303" s="1"/>
      <c r="I303" s="1"/>
      <c r="J303" s="1"/>
      <c r="K303" s="1"/>
      <c r="L303" s="1"/>
      <c r="M303" s="1"/>
      <c r="N303" s="1"/>
    </row>
  </sheetData>
  <autoFilter ref="A7:J57" xr:uid="{AB45E56D-002C-4895-A89F-2C08D17850F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BD137-783F-45E5-B669-8D5E65087A53}">
  <sheetPr>
    <tabColor theme="5" tint="0.59999389629810485"/>
  </sheetPr>
  <dimension ref="A1:E333"/>
  <sheetViews>
    <sheetView showGridLines="0" zoomScale="70" zoomScaleNormal="70" workbookViewId="0"/>
  </sheetViews>
  <sheetFormatPr defaultRowHeight="14.25" x14ac:dyDescent="0.2"/>
  <cols>
    <col min="1" max="1" width="19.375" customWidth="1"/>
    <col min="2" max="2" width="39.75" customWidth="1"/>
    <col min="3" max="3" width="15.375" customWidth="1"/>
    <col min="4" max="4" width="22.875" customWidth="1"/>
    <col min="5" max="5" width="20.75" customWidth="1"/>
    <col min="6" max="7" width="15.375" customWidth="1"/>
    <col min="8" max="8" width="15.625" bestFit="1" customWidth="1"/>
    <col min="9" max="9" width="62.25" bestFit="1" customWidth="1"/>
    <col min="11" max="11" width="15.625" customWidth="1"/>
    <col min="12" max="12" width="16.375" customWidth="1"/>
  </cols>
  <sheetData>
    <row r="1" spans="1:4" ht="27.75" x14ac:dyDescent="0.4">
      <c r="A1" s="113" t="s">
        <v>201</v>
      </c>
    </row>
    <row r="4" spans="1:4" ht="23.25" x14ac:dyDescent="0.35">
      <c r="A4" s="28" t="s">
        <v>202</v>
      </c>
      <c r="B4" s="28"/>
      <c r="C4" s="28"/>
    </row>
    <row r="5" spans="1:4" x14ac:dyDescent="0.2">
      <c r="A5" t="s">
        <v>203</v>
      </c>
    </row>
    <row r="6" spans="1:4" ht="15" x14ac:dyDescent="0.25">
      <c r="A6" s="7"/>
      <c r="B6" s="107" t="s">
        <v>204</v>
      </c>
      <c r="C6" s="107"/>
    </row>
    <row r="7" spans="1:4" x14ac:dyDescent="0.2">
      <c r="A7" s="7"/>
      <c r="B7" s="108" t="s">
        <v>205</v>
      </c>
      <c r="C7" s="64">
        <v>454.31919972133693</v>
      </c>
    </row>
    <row r="8" spans="1:4" x14ac:dyDescent="0.2">
      <c r="A8" s="15" t="s">
        <v>206</v>
      </c>
      <c r="B8" s="16" t="s">
        <v>181</v>
      </c>
      <c r="C8" s="17">
        <f>C67</f>
        <v>8331187.0914225224</v>
      </c>
    </row>
    <row r="9" spans="1:4" ht="15" x14ac:dyDescent="0.25">
      <c r="A9" s="7"/>
      <c r="B9" s="8" t="s">
        <v>207</v>
      </c>
      <c r="C9" s="68">
        <f>C7*1000000/C8</f>
        <v>54.532348720038577</v>
      </c>
    </row>
    <row r="13" spans="1:4" ht="23.25" x14ac:dyDescent="0.35">
      <c r="A13" s="28" t="s">
        <v>208</v>
      </c>
      <c r="B13" s="28"/>
      <c r="C13" s="28"/>
      <c r="D13" s="28"/>
    </row>
    <row r="14" spans="1:4" x14ac:dyDescent="0.2">
      <c r="A14" t="s">
        <v>203</v>
      </c>
    </row>
    <row r="16" spans="1:4" ht="75" x14ac:dyDescent="0.25">
      <c r="B16" s="43" t="s">
        <v>52</v>
      </c>
      <c r="C16" s="94" t="s">
        <v>209</v>
      </c>
    </row>
    <row r="17" spans="2:3" x14ac:dyDescent="0.2">
      <c r="B17" s="5" t="s">
        <v>64</v>
      </c>
      <c r="C17" s="18">
        <v>157908.87169791179</v>
      </c>
    </row>
    <row r="18" spans="2:3" x14ac:dyDescent="0.2">
      <c r="B18" s="5" t="s">
        <v>72</v>
      </c>
      <c r="C18" s="18">
        <v>12557.346564605836</v>
      </c>
    </row>
    <row r="19" spans="2:3" x14ac:dyDescent="0.2">
      <c r="B19" s="5" t="s">
        <v>74</v>
      </c>
      <c r="C19" s="18">
        <v>20401.126551369241</v>
      </c>
    </row>
    <row r="20" spans="2:3" x14ac:dyDescent="0.2">
      <c r="B20" s="5" t="s">
        <v>78</v>
      </c>
      <c r="C20" s="18">
        <v>125646.12072311423</v>
      </c>
    </row>
    <row r="21" spans="2:3" x14ac:dyDescent="0.2">
      <c r="B21" s="5" t="s">
        <v>76</v>
      </c>
      <c r="C21" s="18">
        <v>23926.403185245243</v>
      </c>
    </row>
    <row r="22" spans="2:3" x14ac:dyDescent="0.2">
      <c r="B22" s="5" t="s">
        <v>67</v>
      </c>
      <c r="C22" s="18">
        <v>314515.10018347035</v>
      </c>
    </row>
    <row r="23" spans="2:3" x14ac:dyDescent="0.2">
      <c r="B23" s="5" t="s">
        <v>82</v>
      </c>
      <c r="C23" s="18">
        <v>164353.54933700786</v>
      </c>
    </row>
    <row r="24" spans="2:3" x14ac:dyDescent="0.2">
      <c r="B24" s="5" t="s">
        <v>86</v>
      </c>
      <c r="C24" s="18">
        <v>60328.437034872062</v>
      </c>
    </row>
    <row r="25" spans="2:3" x14ac:dyDescent="0.2">
      <c r="B25" s="5" t="s">
        <v>88</v>
      </c>
      <c r="C25" s="18">
        <v>12257.209096288712</v>
      </c>
    </row>
    <row r="26" spans="2:3" x14ac:dyDescent="0.2">
      <c r="B26" s="5" t="s">
        <v>84</v>
      </c>
      <c r="C26" s="18">
        <v>111170.00569507317</v>
      </c>
    </row>
    <row r="27" spans="2:3" x14ac:dyDescent="0.2">
      <c r="B27" s="5" t="s">
        <v>90</v>
      </c>
      <c r="C27" s="18">
        <v>93955.435419196016</v>
      </c>
    </row>
    <row r="28" spans="2:3" x14ac:dyDescent="0.2">
      <c r="B28" s="5" t="s">
        <v>162</v>
      </c>
      <c r="C28" s="18">
        <v>28990.393522306949</v>
      </c>
    </row>
    <row r="29" spans="2:3" x14ac:dyDescent="0.2">
      <c r="B29" s="5" t="s">
        <v>69</v>
      </c>
      <c r="C29" s="18">
        <v>9169.2914333076369</v>
      </c>
    </row>
    <row r="30" spans="2:3" x14ac:dyDescent="0.2">
      <c r="B30" s="5" t="s">
        <v>98</v>
      </c>
      <c r="C30" s="18">
        <v>73571.074163261714</v>
      </c>
    </row>
    <row r="31" spans="2:3" x14ac:dyDescent="0.2">
      <c r="B31" s="5" t="s">
        <v>100</v>
      </c>
      <c r="C31" s="18">
        <v>947.45817850165793</v>
      </c>
    </row>
    <row r="32" spans="2:3" x14ac:dyDescent="0.2">
      <c r="B32" s="5" t="s">
        <v>102</v>
      </c>
      <c r="C32" s="18">
        <v>1172.1685689522503</v>
      </c>
    </row>
    <row r="33" spans="2:3" x14ac:dyDescent="0.2">
      <c r="B33" s="5" t="s">
        <v>108</v>
      </c>
      <c r="C33" s="18">
        <v>25919.91804381608</v>
      </c>
    </row>
    <row r="34" spans="2:3" x14ac:dyDescent="0.2">
      <c r="B34" s="5" t="s">
        <v>110</v>
      </c>
      <c r="C34" s="18">
        <v>9097.3828759627377</v>
      </c>
    </row>
    <row r="35" spans="2:3" x14ac:dyDescent="0.2">
      <c r="B35" s="5" t="s">
        <v>94</v>
      </c>
      <c r="C35" s="18">
        <v>133694.55012636675</v>
      </c>
    </row>
    <row r="36" spans="2:3" x14ac:dyDescent="0.2">
      <c r="B36" s="5" t="s">
        <v>104</v>
      </c>
      <c r="C36" s="18">
        <v>32624.263617048135</v>
      </c>
    </row>
    <row r="37" spans="2:3" x14ac:dyDescent="0.2">
      <c r="B37" s="5" t="s">
        <v>106</v>
      </c>
      <c r="C37" s="18">
        <v>0</v>
      </c>
    </row>
    <row r="38" spans="2:3" x14ac:dyDescent="0.2">
      <c r="B38" s="5" t="s">
        <v>120</v>
      </c>
      <c r="C38" s="18">
        <v>5269.1982148891302</v>
      </c>
    </row>
    <row r="39" spans="2:3" x14ac:dyDescent="0.2">
      <c r="B39" s="5" t="s">
        <v>112</v>
      </c>
      <c r="C39" s="18">
        <v>13985.082556978485</v>
      </c>
    </row>
    <row r="40" spans="2:3" x14ac:dyDescent="0.2">
      <c r="B40" s="5" t="s">
        <v>124</v>
      </c>
      <c r="C40" s="18">
        <v>181183.41683885281</v>
      </c>
    </row>
    <row r="41" spans="2:3" x14ac:dyDescent="0.2">
      <c r="B41" s="5" t="s">
        <v>122</v>
      </c>
      <c r="C41" s="18">
        <v>1604.1009888491478</v>
      </c>
    </row>
    <row r="42" spans="2:3" x14ac:dyDescent="0.2">
      <c r="B42" s="5" t="s">
        <v>128</v>
      </c>
      <c r="C42" s="18">
        <v>590088.20641807234</v>
      </c>
    </row>
    <row r="43" spans="2:3" x14ac:dyDescent="0.2">
      <c r="B43" s="5" t="s">
        <v>118</v>
      </c>
      <c r="C43" s="18">
        <v>158650.53629707327</v>
      </c>
    </row>
    <row r="44" spans="2:3" x14ac:dyDescent="0.2">
      <c r="B44" s="5" t="s">
        <v>130</v>
      </c>
      <c r="C44" s="18">
        <v>0</v>
      </c>
    </row>
    <row r="45" spans="2:3" x14ac:dyDescent="0.2">
      <c r="B45" s="5" t="s">
        <v>132</v>
      </c>
      <c r="C45" s="18">
        <v>753103.09838564193</v>
      </c>
    </row>
    <row r="46" spans="2:3" x14ac:dyDescent="0.2">
      <c r="B46" s="5" t="s">
        <v>134</v>
      </c>
      <c r="C46" s="18">
        <v>77722.941824362075</v>
      </c>
    </row>
    <row r="47" spans="2:3" x14ac:dyDescent="0.2">
      <c r="B47" s="5" t="s">
        <v>136</v>
      </c>
      <c r="C47" s="18">
        <v>1039696.5156458596</v>
      </c>
    </row>
    <row r="48" spans="2:3" x14ac:dyDescent="0.2">
      <c r="B48" s="5" t="s">
        <v>138</v>
      </c>
      <c r="C48" s="18">
        <v>281388.86864575557</v>
      </c>
    </row>
    <row r="49" spans="2:3" x14ac:dyDescent="0.2">
      <c r="B49" s="5" t="s">
        <v>80</v>
      </c>
      <c r="C49" s="18">
        <v>9212.9301183784573</v>
      </c>
    </row>
    <row r="50" spans="2:3" x14ac:dyDescent="0.2">
      <c r="B50" s="5" t="s">
        <v>140</v>
      </c>
      <c r="C50" s="18">
        <v>15135.880246118526</v>
      </c>
    </row>
    <row r="51" spans="2:3" x14ac:dyDescent="0.2">
      <c r="B51" s="5" t="s">
        <v>142</v>
      </c>
      <c r="C51" s="18">
        <v>171.3906571810225</v>
      </c>
    </row>
    <row r="52" spans="2:3" x14ac:dyDescent="0.2">
      <c r="B52" s="5" t="s">
        <v>144</v>
      </c>
      <c r="C52" s="18">
        <v>1106.7177013531639</v>
      </c>
    </row>
    <row r="53" spans="2:3" x14ac:dyDescent="0.2">
      <c r="B53" s="5" t="s">
        <v>114</v>
      </c>
      <c r="C53" s="18">
        <v>146735.12206666113</v>
      </c>
    </row>
    <row r="54" spans="2:3" x14ac:dyDescent="0.2">
      <c r="B54" s="5" t="s">
        <v>126</v>
      </c>
      <c r="C54" s="18">
        <v>8136.5594275996527</v>
      </c>
    </row>
    <row r="55" spans="2:3" x14ac:dyDescent="0.2">
      <c r="B55" s="5" t="s">
        <v>148</v>
      </c>
      <c r="C55" s="18">
        <v>69781.30983537891</v>
      </c>
    </row>
    <row r="56" spans="2:3" x14ac:dyDescent="0.2">
      <c r="B56" s="5" t="s">
        <v>92</v>
      </c>
      <c r="C56" s="18">
        <v>44295.030922028483</v>
      </c>
    </row>
    <row r="57" spans="2:3" x14ac:dyDescent="0.2">
      <c r="B57" s="5" t="s">
        <v>96</v>
      </c>
      <c r="C57" s="18">
        <v>594.66598784988241</v>
      </c>
    </row>
    <row r="58" spans="2:3" x14ac:dyDescent="0.2">
      <c r="B58" s="5" t="s">
        <v>158</v>
      </c>
      <c r="C58" s="18">
        <v>567326.26667015301</v>
      </c>
    </row>
    <row r="59" spans="2:3" x14ac:dyDescent="0.2">
      <c r="B59" s="5" t="s">
        <v>150</v>
      </c>
      <c r="C59" s="18">
        <v>363353.34220980719</v>
      </c>
    </row>
    <row r="60" spans="2:3" x14ac:dyDescent="0.2">
      <c r="B60" s="5" t="s">
        <v>152</v>
      </c>
      <c r="C60" s="18">
        <v>1989525.4872822496</v>
      </c>
    </row>
    <row r="61" spans="2:3" x14ac:dyDescent="0.2">
      <c r="B61" s="5" t="s">
        <v>154</v>
      </c>
      <c r="C61" s="18">
        <v>75496.882018862598</v>
      </c>
    </row>
    <row r="62" spans="2:3" x14ac:dyDescent="0.2">
      <c r="B62" s="5" t="s">
        <v>116</v>
      </c>
      <c r="C62" s="18">
        <v>63713.974785909304</v>
      </c>
    </row>
    <row r="63" spans="2:3" x14ac:dyDescent="0.2">
      <c r="B63" s="5" t="s">
        <v>156</v>
      </c>
      <c r="C63" s="18">
        <v>294534.91870618955</v>
      </c>
    </row>
    <row r="64" spans="2:3" x14ac:dyDescent="0.2">
      <c r="B64" s="5" t="s">
        <v>164</v>
      </c>
      <c r="C64" s="18">
        <v>36397.540102123574</v>
      </c>
    </row>
    <row r="65" spans="1:5" x14ac:dyDescent="0.2">
      <c r="B65" s="5" t="s">
        <v>160</v>
      </c>
      <c r="C65" s="18">
        <v>53379.873568187126</v>
      </c>
    </row>
    <row r="66" spans="1:5" x14ac:dyDescent="0.2">
      <c r="B66" s="5" t="s">
        <v>146</v>
      </c>
      <c r="C66" s="18">
        <v>77391.12728247937</v>
      </c>
    </row>
    <row r="67" spans="1:5" x14ac:dyDescent="0.2">
      <c r="C67" s="2">
        <f>SUM(C17:C66)</f>
        <v>8331187.0914225224</v>
      </c>
    </row>
    <row r="69" spans="1:5" ht="23.25" x14ac:dyDescent="0.35">
      <c r="A69" s="28" t="s">
        <v>210</v>
      </c>
    </row>
    <row r="70" spans="1:5" ht="15" x14ac:dyDescent="0.25">
      <c r="A70" s="4" t="s">
        <v>211</v>
      </c>
    </row>
    <row r="71" spans="1:5" x14ac:dyDescent="0.2">
      <c r="A71" t="s">
        <v>203</v>
      </c>
    </row>
    <row r="73" spans="1:5" ht="45" x14ac:dyDescent="0.25">
      <c r="B73" s="6" t="s">
        <v>52</v>
      </c>
      <c r="C73" s="6" t="s">
        <v>212</v>
      </c>
      <c r="D73" s="6" t="s">
        <v>213</v>
      </c>
      <c r="E73" s="49" t="s">
        <v>210</v>
      </c>
    </row>
    <row r="74" spans="1:5" x14ac:dyDescent="0.2">
      <c r="B74" s="5" t="s">
        <v>64</v>
      </c>
      <c r="C74" s="5" t="s">
        <v>214</v>
      </c>
      <c r="D74" s="5" t="s">
        <v>215</v>
      </c>
      <c r="E74" s="18">
        <v>23452678.556224927</v>
      </c>
    </row>
    <row r="75" spans="1:5" x14ac:dyDescent="0.2">
      <c r="B75" s="5" t="s">
        <v>64</v>
      </c>
      <c r="C75" s="5" t="s">
        <v>216</v>
      </c>
      <c r="D75" s="5" t="s">
        <v>217</v>
      </c>
      <c r="E75" s="18">
        <v>42868516.215364195</v>
      </c>
    </row>
    <row r="76" spans="1:5" x14ac:dyDescent="0.2">
      <c r="B76" s="5" t="s">
        <v>64</v>
      </c>
      <c r="C76" s="5" t="s">
        <v>218</v>
      </c>
      <c r="D76" s="5" t="s">
        <v>219</v>
      </c>
      <c r="E76" s="18">
        <v>61950866.611055173</v>
      </c>
    </row>
    <row r="77" spans="1:5" x14ac:dyDescent="0.2">
      <c r="B77" s="5" t="s">
        <v>64</v>
      </c>
      <c r="C77" s="5" t="s">
        <v>220</v>
      </c>
      <c r="D77" s="5" t="s">
        <v>221</v>
      </c>
      <c r="E77" s="18">
        <v>361478311.91188896</v>
      </c>
    </row>
    <row r="78" spans="1:5" x14ac:dyDescent="0.2">
      <c r="B78" s="5" t="s">
        <v>64</v>
      </c>
      <c r="C78" s="5" t="s">
        <v>222</v>
      </c>
      <c r="D78" s="5" t="s">
        <v>223</v>
      </c>
      <c r="E78" s="18">
        <v>20164452.822038412</v>
      </c>
    </row>
    <row r="79" spans="1:5" x14ac:dyDescent="0.2">
      <c r="B79" s="5" t="s">
        <v>64</v>
      </c>
      <c r="C79" s="5" t="s">
        <v>224</v>
      </c>
      <c r="D79" s="5" t="s">
        <v>225</v>
      </c>
      <c r="E79" s="18">
        <v>282643025.09971756</v>
      </c>
    </row>
    <row r="80" spans="1:5" x14ac:dyDescent="0.2">
      <c r="B80" s="5" t="s">
        <v>64</v>
      </c>
      <c r="C80" s="5" t="s">
        <v>226</v>
      </c>
      <c r="D80" s="5" t="s">
        <v>227</v>
      </c>
      <c r="E80" s="18">
        <v>14883907.584507007</v>
      </c>
    </row>
    <row r="81" spans="2:5" x14ac:dyDescent="0.2">
      <c r="B81" s="5" t="s">
        <v>72</v>
      </c>
      <c r="C81" s="5" t="s">
        <v>228</v>
      </c>
      <c r="D81" s="5" t="s">
        <v>229</v>
      </c>
      <c r="E81" s="18">
        <v>54213589.89735651</v>
      </c>
    </row>
    <row r="82" spans="2:5" x14ac:dyDescent="0.2">
      <c r="B82" s="5" t="s">
        <v>72</v>
      </c>
      <c r="C82" s="5" t="s">
        <v>230</v>
      </c>
      <c r="D82" s="5" t="s">
        <v>231</v>
      </c>
      <c r="E82" s="18">
        <v>10774849.92440349</v>
      </c>
    </row>
    <row r="83" spans="2:5" x14ac:dyDescent="0.2">
      <c r="B83" s="5" t="s">
        <v>74</v>
      </c>
      <c r="C83" s="5" t="s">
        <v>232</v>
      </c>
      <c r="D83" s="5" t="s">
        <v>233</v>
      </c>
      <c r="E83" s="18">
        <v>116244161.72825974</v>
      </c>
    </row>
    <row r="84" spans="2:5" x14ac:dyDescent="0.2">
      <c r="B84" s="5" t="s">
        <v>78</v>
      </c>
      <c r="C84" s="5" t="s">
        <v>234</v>
      </c>
      <c r="D84" s="5" t="s">
        <v>235</v>
      </c>
      <c r="E84" s="18">
        <v>433952879.62398612</v>
      </c>
    </row>
    <row r="85" spans="2:5" x14ac:dyDescent="0.2">
      <c r="B85" s="5" t="s">
        <v>78</v>
      </c>
      <c r="C85" s="5" t="s">
        <v>236</v>
      </c>
      <c r="D85" s="5" t="s">
        <v>237</v>
      </c>
      <c r="E85" s="18">
        <v>160729758.90828127</v>
      </c>
    </row>
    <row r="86" spans="2:5" x14ac:dyDescent="0.2">
      <c r="B86" s="5" t="s">
        <v>76</v>
      </c>
      <c r="C86" s="5" t="s">
        <v>238</v>
      </c>
      <c r="D86" s="5" t="s">
        <v>239</v>
      </c>
      <c r="E86" s="18">
        <v>2046445.125</v>
      </c>
    </row>
    <row r="87" spans="2:5" x14ac:dyDescent="0.2">
      <c r="B87" s="5" t="s">
        <v>76</v>
      </c>
      <c r="C87" s="5" t="s">
        <v>240</v>
      </c>
      <c r="D87" s="5" t="s">
        <v>241</v>
      </c>
      <c r="E87" s="18">
        <v>148909.75</v>
      </c>
    </row>
    <row r="88" spans="2:5" x14ac:dyDescent="0.2">
      <c r="B88" s="5" t="s">
        <v>76</v>
      </c>
      <c r="C88" s="5" t="s">
        <v>242</v>
      </c>
      <c r="D88" s="5" t="s">
        <v>243</v>
      </c>
      <c r="E88" s="18">
        <v>535644.46901470877</v>
      </c>
    </row>
    <row r="89" spans="2:5" x14ac:dyDescent="0.2">
      <c r="B89" s="5" t="s">
        <v>76</v>
      </c>
      <c r="C89" s="5" t="s">
        <v>244</v>
      </c>
      <c r="D89" s="5" t="s">
        <v>245</v>
      </c>
      <c r="E89" s="18">
        <v>76295.75</v>
      </c>
    </row>
    <row r="90" spans="2:5" x14ac:dyDescent="0.2">
      <c r="B90" s="5" t="s">
        <v>76</v>
      </c>
      <c r="C90" s="5" t="s">
        <v>246</v>
      </c>
      <c r="D90" s="5" t="s">
        <v>247</v>
      </c>
      <c r="E90" s="18">
        <v>278.5</v>
      </c>
    </row>
    <row r="91" spans="2:5" x14ac:dyDescent="0.2">
      <c r="B91" s="5" t="s">
        <v>76</v>
      </c>
      <c r="C91" s="5" t="s">
        <v>248</v>
      </c>
      <c r="D91" s="5" t="s">
        <v>249</v>
      </c>
      <c r="E91" s="18">
        <v>2905582.75</v>
      </c>
    </row>
    <row r="92" spans="2:5" x14ac:dyDescent="0.2">
      <c r="B92" s="5" t="s">
        <v>76</v>
      </c>
      <c r="C92" s="5" t="s">
        <v>250</v>
      </c>
      <c r="D92" s="5" t="s">
        <v>251</v>
      </c>
      <c r="E92" s="18">
        <v>337885.5</v>
      </c>
    </row>
    <row r="93" spans="2:5" x14ac:dyDescent="0.2">
      <c r="B93" s="5" t="s">
        <v>76</v>
      </c>
      <c r="C93" s="5" t="s">
        <v>252</v>
      </c>
      <c r="D93" s="5" t="s">
        <v>253</v>
      </c>
      <c r="E93" s="18">
        <v>1431519.9503940158</v>
      </c>
    </row>
    <row r="94" spans="2:5" x14ac:dyDescent="0.2">
      <c r="B94" s="5" t="s">
        <v>76</v>
      </c>
      <c r="C94" s="5" t="s">
        <v>254</v>
      </c>
      <c r="D94" s="5" t="s">
        <v>255</v>
      </c>
      <c r="E94" s="18">
        <v>38159.75</v>
      </c>
    </row>
    <row r="95" spans="2:5" x14ac:dyDescent="0.2">
      <c r="B95" s="5" t="s">
        <v>67</v>
      </c>
      <c r="C95" s="5" t="s">
        <v>256</v>
      </c>
      <c r="D95" s="5" t="s">
        <v>257</v>
      </c>
      <c r="E95" s="18">
        <v>193573788.5205487</v>
      </c>
    </row>
    <row r="96" spans="2:5" x14ac:dyDescent="0.2">
      <c r="B96" s="5" t="s">
        <v>67</v>
      </c>
      <c r="C96" s="5" t="s">
        <v>238</v>
      </c>
      <c r="D96" s="5" t="s">
        <v>258</v>
      </c>
      <c r="E96" s="18">
        <v>91345666.402344555</v>
      </c>
    </row>
    <row r="97" spans="2:5" x14ac:dyDescent="0.2">
      <c r="B97" s="5" t="s">
        <v>67</v>
      </c>
      <c r="C97" s="5" t="s">
        <v>259</v>
      </c>
      <c r="D97" s="5" t="s">
        <v>260</v>
      </c>
      <c r="E97" s="18">
        <v>257625807.50877684</v>
      </c>
    </row>
    <row r="98" spans="2:5" x14ac:dyDescent="0.2">
      <c r="B98" s="5" t="s">
        <v>67</v>
      </c>
      <c r="C98" s="5" t="s">
        <v>261</v>
      </c>
      <c r="D98" s="5" t="s">
        <v>262</v>
      </c>
      <c r="E98" s="18">
        <v>545879308.84648311</v>
      </c>
    </row>
    <row r="99" spans="2:5" x14ac:dyDescent="0.2">
      <c r="B99" s="5" t="s">
        <v>67</v>
      </c>
      <c r="C99" s="5" t="s">
        <v>263</v>
      </c>
      <c r="D99" s="5" t="s">
        <v>264</v>
      </c>
      <c r="E99" s="18">
        <v>308810002.06588459</v>
      </c>
    </row>
    <row r="100" spans="2:5" x14ac:dyDescent="0.2">
      <c r="B100" s="5" t="s">
        <v>82</v>
      </c>
      <c r="C100" s="5" t="s">
        <v>265</v>
      </c>
      <c r="D100" s="5" t="s">
        <v>266</v>
      </c>
      <c r="E100" s="18">
        <v>605647198.91170764</v>
      </c>
    </row>
    <row r="101" spans="2:5" x14ac:dyDescent="0.2">
      <c r="B101" s="5" t="s">
        <v>86</v>
      </c>
      <c r="C101" s="5" t="s">
        <v>267</v>
      </c>
      <c r="D101" s="5" t="s">
        <v>268</v>
      </c>
      <c r="E101" s="18">
        <v>306423642.62857062</v>
      </c>
    </row>
    <row r="102" spans="2:5" x14ac:dyDescent="0.2">
      <c r="B102" s="5" t="s">
        <v>88</v>
      </c>
      <c r="C102" s="5" t="s">
        <v>269</v>
      </c>
      <c r="D102" s="5" t="s">
        <v>270</v>
      </c>
      <c r="E102" s="18">
        <v>20321.75</v>
      </c>
    </row>
    <row r="103" spans="2:5" x14ac:dyDescent="0.2">
      <c r="B103" s="5" t="s">
        <v>88</v>
      </c>
      <c r="C103" s="5" t="s">
        <v>271</v>
      </c>
      <c r="D103" s="5" t="s">
        <v>272</v>
      </c>
      <c r="E103" s="18">
        <v>0</v>
      </c>
    </row>
    <row r="104" spans="2:5" x14ac:dyDescent="0.2">
      <c r="B104" s="5" t="s">
        <v>88</v>
      </c>
      <c r="C104" s="5" t="s">
        <v>222</v>
      </c>
      <c r="D104" s="5" t="s">
        <v>273</v>
      </c>
      <c r="E104" s="18">
        <v>53113</v>
      </c>
    </row>
    <row r="105" spans="2:5" x14ac:dyDescent="0.2">
      <c r="B105" s="5" t="s">
        <v>88</v>
      </c>
      <c r="C105" s="5" t="s">
        <v>274</v>
      </c>
      <c r="D105" s="5" t="s">
        <v>275</v>
      </c>
      <c r="E105" s="18">
        <v>93.5</v>
      </c>
    </row>
    <row r="106" spans="2:5" x14ac:dyDescent="0.2">
      <c r="B106" s="5" t="s">
        <v>88</v>
      </c>
      <c r="C106" s="5" t="s">
        <v>276</v>
      </c>
      <c r="D106" s="5" t="s">
        <v>277</v>
      </c>
      <c r="E106" s="18">
        <v>4676673.9351757336</v>
      </c>
    </row>
    <row r="107" spans="2:5" x14ac:dyDescent="0.2">
      <c r="B107" s="5" t="s">
        <v>88</v>
      </c>
      <c r="C107" s="5" t="s">
        <v>267</v>
      </c>
      <c r="D107" s="5" t="s">
        <v>278</v>
      </c>
      <c r="E107" s="18">
        <v>41941</v>
      </c>
    </row>
    <row r="108" spans="2:5" x14ac:dyDescent="0.2">
      <c r="B108" s="5" t="s">
        <v>84</v>
      </c>
      <c r="C108" s="5" t="s">
        <v>279</v>
      </c>
      <c r="D108" s="5" t="s">
        <v>280</v>
      </c>
      <c r="E108" s="18">
        <v>178840502.6049881</v>
      </c>
    </row>
    <row r="109" spans="2:5" x14ac:dyDescent="0.2">
      <c r="B109" s="5" t="s">
        <v>84</v>
      </c>
      <c r="C109" s="5" t="s">
        <v>281</v>
      </c>
      <c r="D109" s="5" t="s">
        <v>282</v>
      </c>
      <c r="E109" s="18">
        <v>262739840.49447995</v>
      </c>
    </row>
    <row r="110" spans="2:5" x14ac:dyDescent="0.2">
      <c r="B110" s="5" t="s">
        <v>90</v>
      </c>
      <c r="C110" s="5" t="s">
        <v>283</v>
      </c>
      <c r="D110" s="5" t="s">
        <v>284</v>
      </c>
      <c r="E110" s="18">
        <v>350156938.66086578</v>
      </c>
    </row>
    <row r="111" spans="2:5" x14ac:dyDescent="0.2">
      <c r="B111" s="5" t="s">
        <v>90</v>
      </c>
      <c r="C111" s="5" t="s">
        <v>285</v>
      </c>
      <c r="D111" s="5" t="s">
        <v>286</v>
      </c>
      <c r="E111" s="18">
        <v>112822299.04637195</v>
      </c>
    </row>
    <row r="112" spans="2:5" x14ac:dyDescent="0.2">
      <c r="B112" s="5" t="s">
        <v>90</v>
      </c>
      <c r="C112" s="5" t="s">
        <v>287</v>
      </c>
      <c r="D112" s="5" t="s">
        <v>288</v>
      </c>
      <c r="E112" s="18">
        <v>56521561.122411609</v>
      </c>
    </row>
    <row r="113" spans="2:5" x14ac:dyDescent="0.2">
      <c r="B113" s="5" t="s">
        <v>162</v>
      </c>
      <c r="C113" s="5" t="s">
        <v>289</v>
      </c>
      <c r="D113" s="5" t="s">
        <v>290</v>
      </c>
      <c r="E113" s="18">
        <v>159588579.0945825</v>
      </c>
    </row>
    <row r="114" spans="2:5" x14ac:dyDescent="0.2">
      <c r="B114" s="5" t="s">
        <v>69</v>
      </c>
      <c r="C114" s="5" t="s">
        <v>289</v>
      </c>
      <c r="D114" s="5" t="s">
        <v>291</v>
      </c>
      <c r="E114" s="18">
        <v>60196660.750880986</v>
      </c>
    </row>
    <row r="115" spans="2:5" x14ac:dyDescent="0.2">
      <c r="B115" s="5" t="s">
        <v>98</v>
      </c>
      <c r="C115" s="5" t="s">
        <v>292</v>
      </c>
      <c r="D115" s="5" t="s">
        <v>293</v>
      </c>
      <c r="E115" s="18">
        <v>401755690.54426664</v>
      </c>
    </row>
    <row r="116" spans="2:5" x14ac:dyDescent="0.2">
      <c r="B116" s="5" t="s">
        <v>100</v>
      </c>
      <c r="C116" s="5" t="s">
        <v>294</v>
      </c>
      <c r="D116" s="5" t="s">
        <v>295</v>
      </c>
      <c r="E116" s="18">
        <v>553758.5</v>
      </c>
    </row>
    <row r="117" spans="2:5" x14ac:dyDescent="0.2">
      <c r="B117" s="5" t="s">
        <v>102</v>
      </c>
      <c r="C117" s="5" t="s">
        <v>296</v>
      </c>
      <c r="D117" s="5" t="s">
        <v>297</v>
      </c>
      <c r="E117" s="18">
        <v>687321.75</v>
      </c>
    </row>
    <row r="118" spans="2:5" x14ac:dyDescent="0.2">
      <c r="B118" s="5" t="s">
        <v>108</v>
      </c>
      <c r="C118" s="5" t="s">
        <v>298</v>
      </c>
      <c r="D118" s="5" t="s">
        <v>299</v>
      </c>
      <c r="E118" s="18">
        <v>346051</v>
      </c>
    </row>
    <row r="119" spans="2:5" x14ac:dyDescent="0.2">
      <c r="B119" s="5" t="s">
        <v>108</v>
      </c>
      <c r="C119" s="5" t="s">
        <v>300</v>
      </c>
      <c r="D119" s="5" t="s">
        <v>301</v>
      </c>
      <c r="E119" s="18">
        <v>816800.75</v>
      </c>
    </row>
    <row r="120" spans="2:5" x14ac:dyDescent="0.2">
      <c r="B120" s="5" t="s">
        <v>108</v>
      </c>
      <c r="C120" s="5" t="s">
        <v>302</v>
      </c>
      <c r="D120" s="5" t="s">
        <v>303</v>
      </c>
      <c r="E120" s="18">
        <v>0</v>
      </c>
    </row>
    <row r="121" spans="2:5" x14ac:dyDescent="0.2">
      <c r="B121" s="5" t="s">
        <v>108</v>
      </c>
      <c r="C121" s="5" t="s">
        <v>304</v>
      </c>
      <c r="D121" s="5" t="s">
        <v>305</v>
      </c>
      <c r="E121" s="18">
        <v>907152</v>
      </c>
    </row>
    <row r="122" spans="2:5" x14ac:dyDescent="0.2">
      <c r="B122" s="5" t="s">
        <v>108</v>
      </c>
      <c r="C122" s="5" t="s">
        <v>306</v>
      </c>
      <c r="D122" s="5" t="s">
        <v>307</v>
      </c>
      <c r="E122" s="18">
        <v>677908.5</v>
      </c>
    </row>
    <row r="123" spans="2:5" x14ac:dyDescent="0.2">
      <c r="B123" s="5" t="s">
        <v>108</v>
      </c>
      <c r="C123" s="5" t="s">
        <v>308</v>
      </c>
      <c r="D123" s="5" t="s">
        <v>309</v>
      </c>
      <c r="E123" s="18">
        <v>639434</v>
      </c>
    </row>
    <row r="124" spans="2:5" x14ac:dyDescent="0.2">
      <c r="B124" s="5" t="s">
        <v>108</v>
      </c>
      <c r="C124" s="5" t="s">
        <v>226</v>
      </c>
      <c r="D124" s="5" t="s">
        <v>310</v>
      </c>
      <c r="E124" s="18">
        <v>5744955.8216800475</v>
      </c>
    </row>
    <row r="125" spans="2:5" x14ac:dyDescent="0.2">
      <c r="B125" s="5" t="s">
        <v>108</v>
      </c>
      <c r="C125" s="5" t="s">
        <v>311</v>
      </c>
      <c r="D125" s="5" t="s">
        <v>312</v>
      </c>
      <c r="E125" s="18">
        <v>0</v>
      </c>
    </row>
    <row r="126" spans="2:5" x14ac:dyDescent="0.2">
      <c r="B126" s="5" t="s">
        <v>110</v>
      </c>
      <c r="C126" s="5" t="s">
        <v>313</v>
      </c>
      <c r="D126" s="5" t="s">
        <v>314</v>
      </c>
      <c r="E126" s="18">
        <v>49952259.571524277</v>
      </c>
    </row>
    <row r="127" spans="2:5" x14ac:dyDescent="0.2">
      <c r="B127" s="5" t="s">
        <v>94</v>
      </c>
      <c r="C127" s="5" t="s">
        <v>315</v>
      </c>
      <c r="D127" s="5" t="s">
        <v>316</v>
      </c>
      <c r="E127" s="18">
        <v>86839966.234259784</v>
      </c>
    </row>
    <row r="128" spans="2:5" x14ac:dyDescent="0.2">
      <c r="B128" s="5" t="s">
        <v>94</v>
      </c>
      <c r="C128" s="5" t="s">
        <v>317</v>
      </c>
      <c r="D128" s="5" t="s">
        <v>318</v>
      </c>
      <c r="E128" s="18">
        <v>105858952.82930985</v>
      </c>
    </row>
    <row r="129" spans="2:5" x14ac:dyDescent="0.2">
      <c r="B129" s="5" t="s">
        <v>94</v>
      </c>
      <c r="C129" s="5" t="s">
        <v>319</v>
      </c>
      <c r="D129" s="5" t="s">
        <v>320</v>
      </c>
      <c r="E129" s="18">
        <v>137261665.79306895</v>
      </c>
    </row>
    <row r="130" spans="2:5" x14ac:dyDescent="0.2">
      <c r="B130" s="5" t="s">
        <v>94</v>
      </c>
      <c r="C130" s="5" t="s">
        <v>321</v>
      </c>
      <c r="D130" s="5" t="s">
        <v>322</v>
      </c>
      <c r="E130" s="18">
        <v>238336761.51794598</v>
      </c>
    </row>
    <row r="131" spans="2:5" x14ac:dyDescent="0.2">
      <c r="B131" s="5" t="s">
        <v>94</v>
      </c>
      <c r="C131" s="5" t="s">
        <v>323</v>
      </c>
      <c r="D131" s="5" t="s">
        <v>324</v>
      </c>
      <c r="E131" s="18">
        <v>73323208.128896281</v>
      </c>
    </row>
    <row r="132" spans="2:5" x14ac:dyDescent="0.2">
      <c r="B132" s="5" t="s">
        <v>104</v>
      </c>
      <c r="C132" s="5" t="s">
        <v>325</v>
      </c>
      <c r="D132" s="5" t="s">
        <v>326</v>
      </c>
      <c r="E132" s="18">
        <v>0</v>
      </c>
    </row>
    <row r="133" spans="2:5" x14ac:dyDescent="0.2">
      <c r="B133" s="5" t="s">
        <v>104</v>
      </c>
      <c r="C133" s="5" t="s">
        <v>327</v>
      </c>
      <c r="D133" s="5" t="s">
        <v>328</v>
      </c>
      <c r="E133" s="18">
        <v>795129.25</v>
      </c>
    </row>
    <row r="134" spans="2:5" x14ac:dyDescent="0.2">
      <c r="B134" s="5" t="s">
        <v>104</v>
      </c>
      <c r="C134" s="5" t="s">
        <v>329</v>
      </c>
      <c r="D134" s="5" t="s">
        <v>330</v>
      </c>
      <c r="E134" s="18">
        <v>8261312.5</v>
      </c>
    </row>
    <row r="135" spans="2:5" x14ac:dyDescent="0.2">
      <c r="B135" s="5" t="s">
        <v>104</v>
      </c>
      <c r="C135" s="5" t="s">
        <v>331</v>
      </c>
      <c r="D135" s="5" t="s">
        <v>332</v>
      </c>
      <c r="E135" s="18">
        <v>0</v>
      </c>
    </row>
    <row r="136" spans="2:5" x14ac:dyDescent="0.2">
      <c r="B136" s="5" t="s">
        <v>104</v>
      </c>
      <c r="C136" s="5" t="s">
        <v>333</v>
      </c>
      <c r="D136" s="5" t="s">
        <v>334</v>
      </c>
      <c r="E136" s="18">
        <v>85212.5</v>
      </c>
    </row>
    <row r="137" spans="2:5" x14ac:dyDescent="0.2">
      <c r="B137" s="5" t="s">
        <v>104</v>
      </c>
      <c r="C137" s="5" t="s">
        <v>335</v>
      </c>
      <c r="D137" s="5" t="s">
        <v>336</v>
      </c>
      <c r="E137" s="18">
        <v>222177.5</v>
      </c>
    </row>
    <row r="138" spans="2:5" x14ac:dyDescent="0.2">
      <c r="B138" s="5" t="s">
        <v>104</v>
      </c>
      <c r="C138" s="5" t="s">
        <v>337</v>
      </c>
      <c r="D138" s="5" t="s">
        <v>338</v>
      </c>
      <c r="E138" s="18">
        <v>65642326.160000101</v>
      </c>
    </row>
    <row r="139" spans="2:5" x14ac:dyDescent="0.2">
      <c r="B139" s="5" t="s">
        <v>104</v>
      </c>
      <c r="C139" s="5" t="s">
        <v>339</v>
      </c>
      <c r="D139" s="5" t="s">
        <v>340</v>
      </c>
      <c r="E139" s="18">
        <v>25032.5</v>
      </c>
    </row>
    <row r="140" spans="2:5" x14ac:dyDescent="0.2">
      <c r="B140" s="5" t="s">
        <v>106</v>
      </c>
      <c r="C140" s="5" t="s">
        <v>341</v>
      </c>
      <c r="D140" s="5" t="s">
        <v>342</v>
      </c>
      <c r="E140" s="18">
        <v>0</v>
      </c>
    </row>
    <row r="141" spans="2:5" x14ac:dyDescent="0.2">
      <c r="B141" s="5" t="s">
        <v>120</v>
      </c>
      <c r="C141" s="5" t="s">
        <v>343</v>
      </c>
      <c r="D141" s="5" t="s">
        <v>344</v>
      </c>
      <c r="E141" s="18">
        <v>106052.5</v>
      </c>
    </row>
    <row r="142" spans="2:5" x14ac:dyDescent="0.2">
      <c r="B142" s="5" t="s">
        <v>112</v>
      </c>
      <c r="C142" s="5" t="s">
        <v>345</v>
      </c>
      <c r="D142" s="5" t="s">
        <v>346</v>
      </c>
      <c r="E142" s="18">
        <v>52070375.561945967</v>
      </c>
    </row>
    <row r="143" spans="2:5" x14ac:dyDescent="0.2">
      <c r="B143" s="5" t="s">
        <v>124</v>
      </c>
      <c r="C143" s="5" t="s">
        <v>347</v>
      </c>
      <c r="D143" s="5" t="s">
        <v>348</v>
      </c>
      <c r="E143" s="18">
        <v>401184496.3727358</v>
      </c>
    </row>
    <row r="144" spans="2:5" x14ac:dyDescent="0.2">
      <c r="B144" s="5" t="s">
        <v>124</v>
      </c>
      <c r="C144" s="5" t="s">
        <v>349</v>
      </c>
      <c r="D144" s="5" t="s">
        <v>350</v>
      </c>
      <c r="E144" s="18">
        <v>605266664.62793279</v>
      </c>
    </row>
    <row r="145" spans="2:5" x14ac:dyDescent="0.2">
      <c r="B145" s="5" t="s">
        <v>124</v>
      </c>
      <c r="C145" s="5" t="s">
        <v>351</v>
      </c>
      <c r="D145" s="5" t="s">
        <v>352</v>
      </c>
      <c r="E145" s="18">
        <v>98798129.374870718</v>
      </c>
    </row>
    <row r="146" spans="2:5" x14ac:dyDescent="0.2">
      <c r="B146" s="5" t="s">
        <v>122</v>
      </c>
      <c r="C146" s="5" t="s">
        <v>343</v>
      </c>
      <c r="D146" s="5" t="s">
        <v>353</v>
      </c>
      <c r="E146" s="18">
        <v>6311.5</v>
      </c>
    </row>
    <row r="147" spans="2:5" x14ac:dyDescent="0.2">
      <c r="B147" s="5" t="s">
        <v>128</v>
      </c>
      <c r="C147" s="5" t="s">
        <v>354</v>
      </c>
      <c r="D147" s="5" t="s">
        <v>355</v>
      </c>
      <c r="E147" s="18">
        <v>5064546057.4357309</v>
      </c>
    </row>
    <row r="148" spans="2:5" x14ac:dyDescent="0.2">
      <c r="B148" s="5" t="s">
        <v>118</v>
      </c>
      <c r="C148" s="5" t="s">
        <v>236</v>
      </c>
      <c r="D148" s="5" t="s">
        <v>356</v>
      </c>
      <c r="E148" s="18">
        <v>1082038483.1904964</v>
      </c>
    </row>
    <row r="149" spans="2:5" x14ac:dyDescent="0.2">
      <c r="B149" s="5" t="s">
        <v>130</v>
      </c>
      <c r="C149" s="5" t="s">
        <v>313</v>
      </c>
      <c r="D149" s="5" t="s">
        <v>357</v>
      </c>
      <c r="E149" s="18">
        <v>0</v>
      </c>
    </row>
    <row r="150" spans="2:5" x14ac:dyDescent="0.2">
      <c r="B150" s="5" t="s">
        <v>132</v>
      </c>
      <c r="C150" s="5" t="s">
        <v>358</v>
      </c>
      <c r="D150" s="5" t="s">
        <v>359</v>
      </c>
      <c r="E150" s="18">
        <v>1150171.8711802044</v>
      </c>
    </row>
    <row r="151" spans="2:5" x14ac:dyDescent="0.2">
      <c r="B151" s="5" t="s">
        <v>132</v>
      </c>
      <c r="C151" s="5" t="s">
        <v>360</v>
      </c>
      <c r="D151" s="5" t="s">
        <v>361</v>
      </c>
      <c r="E151" s="18">
        <v>662255965.19640827</v>
      </c>
    </row>
    <row r="152" spans="2:5" x14ac:dyDescent="0.2">
      <c r="B152" s="5" t="s">
        <v>132</v>
      </c>
      <c r="C152" s="5" t="s">
        <v>362</v>
      </c>
      <c r="D152" s="5" t="s">
        <v>363</v>
      </c>
      <c r="E152" s="18">
        <v>1703272.2356436341</v>
      </c>
    </row>
    <row r="153" spans="2:5" x14ac:dyDescent="0.2">
      <c r="B153" s="5" t="s">
        <v>132</v>
      </c>
      <c r="C153" s="5" t="s">
        <v>364</v>
      </c>
      <c r="D153" s="5" t="s">
        <v>365</v>
      </c>
      <c r="E153" s="18">
        <v>1240620.0836193198</v>
      </c>
    </row>
    <row r="154" spans="2:5" x14ac:dyDescent="0.2">
      <c r="B154" s="5" t="s">
        <v>132</v>
      </c>
      <c r="C154" s="5" t="s">
        <v>366</v>
      </c>
      <c r="D154" s="5" t="s">
        <v>367</v>
      </c>
      <c r="E154" s="18">
        <v>178521872.69637841</v>
      </c>
    </row>
    <row r="155" spans="2:5" x14ac:dyDescent="0.2">
      <c r="B155" s="5" t="s">
        <v>132</v>
      </c>
      <c r="C155" s="5" t="s">
        <v>368</v>
      </c>
      <c r="D155" s="5" t="s">
        <v>369</v>
      </c>
      <c r="E155" s="18">
        <v>2385955785.8151212</v>
      </c>
    </row>
    <row r="156" spans="2:5" x14ac:dyDescent="0.2">
      <c r="B156" s="5" t="s">
        <v>132</v>
      </c>
      <c r="C156" s="5" t="s">
        <v>370</v>
      </c>
      <c r="D156" s="5" t="s">
        <v>371</v>
      </c>
      <c r="E156" s="18">
        <v>66479276.259458601</v>
      </c>
    </row>
    <row r="157" spans="2:5" x14ac:dyDescent="0.2">
      <c r="B157" s="5" t="s">
        <v>134</v>
      </c>
      <c r="C157" s="5" t="s">
        <v>252</v>
      </c>
      <c r="D157" s="5" t="s">
        <v>372</v>
      </c>
      <c r="E157" s="18">
        <v>513137202.17796659</v>
      </c>
    </row>
    <row r="158" spans="2:5" x14ac:dyDescent="0.2">
      <c r="B158" s="5" t="s">
        <v>136</v>
      </c>
      <c r="C158" s="5" t="s">
        <v>373</v>
      </c>
      <c r="D158" s="5" t="s">
        <v>374</v>
      </c>
      <c r="E158" s="18">
        <v>478815154.76938725</v>
      </c>
    </row>
    <row r="159" spans="2:5" x14ac:dyDescent="0.2">
      <c r="B159" s="5" t="s">
        <v>136</v>
      </c>
      <c r="C159" s="5" t="s">
        <v>375</v>
      </c>
      <c r="D159" s="5" t="s">
        <v>376</v>
      </c>
      <c r="E159" s="18">
        <v>123567087.94766605</v>
      </c>
    </row>
    <row r="160" spans="2:5" x14ac:dyDescent="0.2">
      <c r="B160" s="5" t="s">
        <v>136</v>
      </c>
      <c r="C160" s="5" t="s">
        <v>377</v>
      </c>
      <c r="D160" s="5" t="s">
        <v>378</v>
      </c>
      <c r="E160" s="18">
        <v>238173965.62989759</v>
      </c>
    </row>
    <row r="161" spans="2:5" x14ac:dyDescent="0.2">
      <c r="B161" s="5" t="s">
        <v>136</v>
      </c>
      <c r="C161" s="5" t="s">
        <v>379</v>
      </c>
      <c r="D161" s="5" t="s">
        <v>380</v>
      </c>
      <c r="E161" s="18">
        <v>74120789.300415263</v>
      </c>
    </row>
    <row r="162" spans="2:5" x14ac:dyDescent="0.2">
      <c r="B162" s="5" t="s">
        <v>136</v>
      </c>
      <c r="C162" s="5" t="s">
        <v>381</v>
      </c>
      <c r="D162" s="5" t="s">
        <v>382</v>
      </c>
      <c r="E162" s="18">
        <v>208349391.37128001</v>
      </c>
    </row>
    <row r="163" spans="2:5" x14ac:dyDescent="0.2">
      <c r="B163" s="5" t="s">
        <v>136</v>
      </c>
      <c r="C163" s="5" t="s">
        <v>383</v>
      </c>
      <c r="D163" s="5" t="s">
        <v>384</v>
      </c>
      <c r="E163" s="18">
        <v>183919910.15695253</v>
      </c>
    </row>
    <row r="164" spans="2:5" x14ac:dyDescent="0.2">
      <c r="B164" s="5" t="s">
        <v>136</v>
      </c>
      <c r="C164" s="5" t="s">
        <v>289</v>
      </c>
      <c r="D164" s="5" t="s">
        <v>385</v>
      </c>
      <c r="E164" s="18">
        <v>159259102.85524917</v>
      </c>
    </row>
    <row r="165" spans="2:5" x14ac:dyDescent="0.2">
      <c r="B165" s="5" t="s">
        <v>136</v>
      </c>
      <c r="C165" s="5" t="s">
        <v>386</v>
      </c>
      <c r="D165" s="5" t="s">
        <v>387</v>
      </c>
      <c r="E165" s="18">
        <v>657173861.88916874</v>
      </c>
    </row>
    <row r="166" spans="2:5" x14ac:dyDescent="0.2">
      <c r="B166" s="5" t="s">
        <v>136</v>
      </c>
      <c r="C166" s="5" t="s">
        <v>388</v>
      </c>
      <c r="D166" s="5" t="s">
        <v>389</v>
      </c>
      <c r="E166" s="18">
        <v>75151612.581586272</v>
      </c>
    </row>
    <row r="167" spans="2:5" x14ac:dyDescent="0.2">
      <c r="B167" s="5" t="s">
        <v>136</v>
      </c>
      <c r="C167" s="5" t="s">
        <v>390</v>
      </c>
      <c r="D167" s="5" t="s">
        <v>391</v>
      </c>
      <c r="E167" s="18">
        <v>217309213.18133882</v>
      </c>
    </row>
    <row r="168" spans="2:5" x14ac:dyDescent="0.2">
      <c r="B168" s="5" t="s">
        <v>136</v>
      </c>
      <c r="C168" s="5" t="s">
        <v>341</v>
      </c>
      <c r="D168" s="5" t="s">
        <v>392</v>
      </c>
      <c r="E168" s="18">
        <v>255357019.55466151</v>
      </c>
    </row>
    <row r="169" spans="2:5" x14ac:dyDescent="0.2">
      <c r="B169" s="5" t="s">
        <v>136</v>
      </c>
      <c r="C169" s="5" t="s">
        <v>393</v>
      </c>
      <c r="D169" s="5" t="s">
        <v>394</v>
      </c>
      <c r="E169" s="18">
        <v>76986027.625364423</v>
      </c>
    </row>
    <row r="170" spans="2:5" x14ac:dyDescent="0.2">
      <c r="B170" s="5" t="s">
        <v>136</v>
      </c>
      <c r="C170" s="5" t="s">
        <v>395</v>
      </c>
      <c r="D170" s="5" t="s">
        <v>396</v>
      </c>
      <c r="E170" s="18">
        <v>223707326.43741512</v>
      </c>
    </row>
    <row r="171" spans="2:5" x14ac:dyDescent="0.2">
      <c r="B171" s="5" t="s">
        <v>136</v>
      </c>
      <c r="C171" s="5" t="s">
        <v>397</v>
      </c>
      <c r="D171" s="5" t="s">
        <v>398</v>
      </c>
      <c r="E171" s="18">
        <v>308793196.72237039</v>
      </c>
    </row>
    <row r="172" spans="2:5" x14ac:dyDescent="0.2">
      <c r="B172" s="5" t="s">
        <v>136</v>
      </c>
      <c r="C172" s="5" t="s">
        <v>399</v>
      </c>
      <c r="D172" s="5" t="s">
        <v>400</v>
      </c>
      <c r="E172" s="18">
        <v>88701932.442013696</v>
      </c>
    </row>
    <row r="173" spans="2:5" x14ac:dyDescent="0.2">
      <c r="B173" s="5" t="s">
        <v>136</v>
      </c>
      <c r="C173" s="5" t="s">
        <v>401</v>
      </c>
      <c r="D173" s="5" t="s">
        <v>402</v>
      </c>
      <c r="E173" s="18">
        <v>33146405.807332441</v>
      </c>
    </row>
    <row r="174" spans="2:5" x14ac:dyDescent="0.2">
      <c r="B174" s="5" t="s">
        <v>136</v>
      </c>
      <c r="C174" s="5" t="s">
        <v>403</v>
      </c>
      <c r="D174" s="5" t="s">
        <v>404</v>
      </c>
      <c r="E174" s="18">
        <v>82339686.966219798</v>
      </c>
    </row>
    <row r="175" spans="2:5" x14ac:dyDescent="0.2">
      <c r="B175" s="5" t="s">
        <v>136</v>
      </c>
      <c r="C175" s="5" t="s">
        <v>405</v>
      </c>
      <c r="D175" s="5" t="s">
        <v>406</v>
      </c>
      <c r="E175" s="18">
        <v>9800218.5764687676</v>
      </c>
    </row>
    <row r="176" spans="2:5" x14ac:dyDescent="0.2">
      <c r="B176" s="5" t="s">
        <v>136</v>
      </c>
      <c r="C176" s="5" t="s">
        <v>407</v>
      </c>
      <c r="D176" s="5" t="s">
        <v>408</v>
      </c>
      <c r="E176" s="18">
        <v>48709267.389793724</v>
      </c>
    </row>
    <row r="177" spans="2:5" x14ac:dyDescent="0.2">
      <c r="B177" s="5" t="s">
        <v>136</v>
      </c>
      <c r="C177" s="5" t="s">
        <v>409</v>
      </c>
      <c r="D177" s="5" t="s">
        <v>410</v>
      </c>
      <c r="E177" s="18">
        <v>185373741.57416004</v>
      </c>
    </row>
    <row r="178" spans="2:5" x14ac:dyDescent="0.2">
      <c r="B178" s="5" t="s">
        <v>136</v>
      </c>
      <c r="C178" s="5" t="s">
        <v>248</v>
      </c>
      <c r="D178" s="5" t="s">
        <v>411</v>
      </c>
      <c r="E178" s="18">
        <v>156498110.77252659</v>
      </c>
    </row>
    <row r="179" spans="2:5" x14ac:dyDescent="0.2">
      <c r="B179" s="5" t="s">
        <v>136</v>
      </c>
      <c r="C179" s="5" t="s">
        <v>412</v>
      </c>
      <c r="D179" s="5" t="s">
        <v>413</v>
      </c>
      <c r="E179" s="18">
        <v>531280109.77267301</v>
      </c>
    </row>
    <row r="180" spans="2:5" x14ac:dyDescent="0.2">
      <c r="B180" s="5" t="s">
        <v>136</v>
      </c>
      <c r="C180" s="5" t="s">
        <v>414</v>
      </c>
      <c r="D180" s="5" t="s">
        <v>415</v>
      </c>
      <c r="E180" s="18">
        <v>170998909.47131848</v>
      </c>
    </row>
    <row r="181" spans="2:5" x14ac:dyDescent="0.2">
      <c r="B181" s="5" t="s">
        <v>136</v>
      </c>
      <c r="C181" s="5" t="s">
        <v>416</v>
      </c>
      <c r="D181" s="5" t="s">
        <v>417</v>
      </c>
      <c r="E181" s="18">
        <v>145230416.93937498</v>
      </c>
    </row>
    <row r="182" spans="2:5" x14ac:dyDescent="0.2">
      <c r="B182" s="5" t="s">
        <v>136</v>
      </c>
      <c r="C182" s="5" t="s">
        <v>418</v>
      </c>
      <c r="D182" s="5" t="s">
        <v>419</v>
      </c>
      <c r="E182" s="18">
        <v>167488786.97759378</v>
      </c>
    </row>
    <row r="183" spans="2:5" x14ac:dyDescent="0.2">
      <c r="B183" s="5" t="s">
        <v>136</v>
      </c>
      <c r="C183" s="5" t="s">
        <v>420</v>
      </c>
      <c r="D183" s="5" t="s">
        <v>421</v>
      </c>
      <c r="E183" s="18">
        <v>179442105.64247385</v>
      </c>
    </row>
    <row r="184" spans="2:5" x14ac:dyDescent="0.2">
      <c r="B184" s="5" t="s">
        <v>136</v>
      </c>
      <c r="C184" s="5" t="s">
        <v>422</v>
      </c>
      <c r="D184" s="5" t="s">
        <v>423</v>
      </c>
      <c r="E184" s="18">
        <v>24618309.215961933</v>
      </c>
    </row>
    <row r="185" spans="2:5" x14ac:dyDescent="0.2">
      <c r="B185" s="5" t="s">
        <v>138</v>
      </c>
      <c r="C185" s="5" t="s">
        <v>424</v>
      </c>
      <c r="D185" s="5" t="s">
        <v>425</v>
      </c>
      <c r="E185" s="18">
        <v>167476269.24209169</v>
      </c>
    </row>
    <row r="186" spans="2:5" x14ac:dyDescent="0.2">
      <c r="B186" s="5" t="s">
        <v>138</v>
      </c>
      <c r="C186" s="5" t="s">
        <v>426</v>
      </c>
      <c r="D186" s="5" t="s">
        <v>427</v>
      </c>
      <c r="E186" s="18">
        <v>140833282.79062995</v>
      </c>
    </row>
    <row r="187" spans="2:5" x14ac:dyDescent="0.2">
      <c r="B187" s="5" t="s">
        <v>138</v>
      </c>
      <c r="C187" s="5" t="s">
        <v>259</v>
      </c>
      <c r="D187" s="5" t="s">
        <v>428</v>
      </c>
      <c r="E187" s="18">
        <v>22635682.34366031</v>
      </c>
    </row>
    <row r="188" spans="2:5" x14ac:dyDescent="0.2">
      <c r="B188" s="5" t="s">
        <v>138</v>
      </c>
      <c r="C188" s="5" t="s">
        <v>429</v>
      </c>
      <c r="D188" s="5" t="s">
        <v>430</v>
      </c>
      <c r="E188" s="18">
        <v>163406513.16348708</v>
      </c>
    </row>
    <row r="189" spans="2:5" x14ac:dyDescent="0.2">
      <c r="B189" s="5" t="s">
        <v>138</v>
      </c>
      <c r="C189" s="5" t="s">
        <v>261</v>
      </c>
      <c r="D189" s="5" t="s">
        <v>431</v>
      </c>
      <c r="E189" s="18">
        <v>33344359.667681992</v>
      </c>
    </row>
    <row r="190" spans="2:5" x14ac:dyDescent="0.2">
      <c r="B190" s="5" t="s">
        <v>138</v>
      </c>
      <c r="C190" s="5" t="s">
        <v>432</v>
      </c>
      <c r="D190" s="5" t="s">
        <v>433</v>
      </c>
      <c r="E190" s="18">
        <v>450780370.33188361</v>
      </c>
    </row>
    <row r="191" spans="2:5" x14ac:dyDescent="0.2">
      <c r="B191" s="5" t="s">
        <v>138</v>
      </c>
      <c r="C191" s="5" t="s">
        <v>434</v>
      </c>
      <c r="D191" s="5" t="s">
        <v>435</v>
      </c>
      <c r="E191" s="18">
        <v>281248251.8313899</v>
      </c>
    </row>
    <row r="192" spans="2:5" x14ac:dyDescent="0.2">
      <c r="B192" s="5" t="s">
        <v>138</v>
      </c>
      <c r="C192" s="5" t="s">
        <v>436</v>
      </c>
      <c r="D192" s="5" t="s">
        <v>437</v>
      </c>
      <c r="E192" s="18">
        <v>227522180.75671691</v>
      </c>
    </row>
    <row r="193" spans="2:5" x14ac:dyDescent="0.2">
      <c r="B193" s="5" t="s">
        <v>80</v>
      </c>
      <c r="C193" s="5" t="s">
        <v>438</v>
      </c>
      <c r="D193" s="5" t="s">
        <v>439</v>
      </c>
      <c r="E193" s="18">
        <v>57918041.432570472</v>
      </c>
    </row>
    <row r="194" spans="2:5" x14ac:dyDescent="0.2">
      <c r="B194" s="5" t="s">
        <v>140</v>
      </c>
      <c r="C194" s="5" t="s">
        <v>440</v>
      </c>
      <c r="D194" s="5" t="s">
        <v>441</v>
      </c>
      <c r="E194" s="18">
        <v>69528035.760240346</v>
      </c>
    </row>
    <row r="195" spans="2:5" x14ac:dyDescent="0.2">
      <c r="B195" s="5" t="s">
        <v>140</v>
      </c>
      <c r="C195" s="5" t="s">
        <v>294</v>
      </c>
      <c r="D195" s="5" t="s">
        <v>442</v>
      </c>
      <c r="E195" s="18">
        <v>13044081.323195038</v>
      </c>
    </row>
    <row r="196" spans="2:5" x14ac:dyDescent="0.2">
      <c r="B196" s="5" t="s">
        <v>142</v>
      </c>
      <c r="C196" s="5" t="s">
        <v>443</v>
      </c>
      <c r="D196" s="5" t="s">
        <v>444</v>
      </c>
      <c r="E196" s="18">
        <v>461368.45735014166</v>
      </c>
    </row>
    <row r="197" spans="2:5" x14ac:dyDescent="0.2">
      <c r="B197" s="5" t="s">
        <v>445</v>
      </c>
      <c r="C197" s="5" t="s">
        <v>285</v>
      </c>
      <c r="D197" s="5" t="s">
        <v>446</v>
      </c>
      <c r="E197" s="18">
        <v>662943706.6193105</v>
      </c>
    </row>
    <row r="198" spans="2:5" x14ac:dyDescent="0.2">
      <c r="B198" s="5" t="s">
        <v>172</v>
      </c>
      <c r="C198" s="5" t="s">
        <v>447</v>
      </c>
      <c r="D198" s="5" t="s">
        <v>448</v>
      </c>
      <c r="E198" s="18">
        <v>0</v>
      </c>
    </row>
    <row r="199" spans="2:5" x14ac:dyDescent="0.2">
      <c r="B199" s="5" t="s">
        <v>144</v>
      </c>
      <c r="C199" s="5" t="s">
        <v>449</v>
      </c>
      <c r="D199" s="5" t="s">
        <v>450</v>
      </c>
      <c r="E199" s="18">
        <v>569775.37250000087</v>
      </c>
    </row>
    <row r="200" spans="2:5" x14ac:dyDescent="0.2">
      <c r="B200" s="5" t="s">
        <v>114</v>
      </c>
      <c r="C200" s="5" t="s">
        <v>451</v>
      </c>
      <c r="D200" s="5" t="s">
        <v>452</v>
      </c>
      <c r="E200" s="18">
        <v>13172264.146645783</v>
      </c>
    </row>
    <row r="201" spans="2:5" x14ac:dyDescent="0.2">
      <c r="B201" s="5" t="s">
        <v>114</v>
      </c>
      <c r="C201" s="5" t="s">
        <v>453</v>
      </c>
      <c r="D201" s="5" t="s">
        <v>454</v>
      </c>
      <c r="E201" s="18">
        <v>11991233.315460527</v>
      </c>
    </row>
    <row r="202" spans="2:5" x14ac:dyDescent="0.2">
      <c r="B202" s="5" t="s">
        <v>114</v>
      </c>
      <c r="C202" s="5" t="s">
        <v>345</v>
      </c>
      <c r="D202" s="5" t="s">
        <v>455</v>
      </c>
      <c r="E202" s="18">
        <v>725718046.07491219</v>
      </c>
    </row>
    <row r="203" spans="2:5" x14ac:dyDescent="0.2">
      <c r="B203" s="5" t="s">
        <v>126</v>
      </c>
      <c r="C203" s="5" t="s">
        <v>456</v>
      </c>
      <c r="D203" s="5" t="s">
        <v>457</v>
      </c>
      <c r="E203" s="18">
        <v>47321030.380590074</v>
      </c>
    </row>
    <row r="204" spans="2:5" x14ac:dyDescent="0.2">
      <c r="B204" s="5" t="s">
        <v>126</v>
      </c>
      <c r="C204" s="5" t="s">
        <v>458</v>
      </c>
      <c r="D204" s="5" t="s">
        <v>459</v>
      </c>
      <c r="E204" s="18">
        <v>0</v>
      </c>
    </row>
    <row r="205" spans="2:5" x14ac:dyDescent="0.2">
      <c r="B205" s="5" t="s">
        <v>126</v>
      </c>
      <c r="C205" s="5" t="s">
        <v>460</v>
      </c>
      <c r="D205" s="5" t="s">
        <v>461</v>
      </c>
      <c r="E205" s="18">
        <v>767441.76568079402</v>
      </c>
    </row>
    <row r="206" spans="2:5" x14ac:dyDescent="0.2">
      <c r="B206" s="5" t="s">
        <v>148</v>
      </c>
      <c r="C206" s="5" t="s">
        <v>462</v>
      </c>
      <c r="D206" s="5" t="s">
        <v>463</v>
      </c>
      <c r="E206" s="18">
        <v>358900599.67369318</v>
      </c>
    </row>
    <row r="207" spans="2:5" x14ac:dyDescent="0.2">
      <c r="B207" s="5" t="s">
        <v>92</v>
      </c>
      <c r="C207" s="5" t="s">
        <v>373</v>
      </c>
      <c r="D207" s="5" t="s">
        <v>464</v>
      </c>
      <c r="E207" s="18">
        <v>3989803.4449992878</v>
      </c>
    </row>
    <row r="208" spans="2:5" x14ac:dyDescent="0.2">
      <c r="B208" s="5" t="s">
        <v>92</v>
      </c>
      <c r="C208" s="5" t="s">
        <v>465</v>
      </c>
      <c r="D208" s="5" t="s">
        <v>466</v>
      </c>
      <c r="E208" s="18">
        <v>3617064.4895251538</v>
      </c>
    </row>
    <row r="209" spans="2:5" x14ac:dyDescent="0.2">
      <c r="B209" s="5" t="s">
        <v>92</v>
      </c>
      <c r="C209" s="5" t="s">
        <v>443</v>
      </c>
      <c r="D209" s="5" t="s">
        <v>467</v>
      </c>
      <c r="E209" s="18">
        <v>16714230.994892713</v>
      </c>
    </row>
    <row r="210" spans="2:5" x14ac:dyDescent="0.2">
      <c r="B210" s="5" t="s">
        <v>92</v>
      </c>
      <c r="C210" s="5" t="s">
        <v>468</v>
      </c>
      <c r="D210" s="5" t="s">
        <v>469</v>
      </c>
      <c r="E210" s="18">
        <v>17039418.767169837</v>
      </c>
    </row>
    <row r="211" spans="2:5" x14ac:dyDescent="0.2">
      <c r="B211" s="5" t="s">
        <v>92</v>
      </c>
      <c r="C211" s="5" t="s">
        <v>470</v>
      </c>
      <c r="D211" s="5" t="s">
        <v>471</v>
      </c>
      <c r="E211" s="18">
        <v>4569150.3902354883</v>
      </c>
    </row>
    <row r="212" spans="2:5" x14ac:dyDescent="0.2">
      <c r="B212" s="5" t="s">
        <v>92</v>
      </c>
      <c r="C212" s="5" t="s">
        <v>472</v>
      </c>
      <c r="D212" s="5" t="s">
        <v>473</v>
      </c>
      <c r="E212" s="18">
        <v>4744834.9499225058</v>
      </c>
    </row>
    <row r="213" spans="2:5" x14ac:dyDescent="0.2">
      <c r="B213" s="5" t="s">
        <v>96</v>
      </c>
      <c r="C213" s="5" t="s">
        <v>474</v>
      </c>
      <c r="D213" s="5" t="s">
        <v>475</v>
      </c>
      <c r="E213" s="18">
        <v>90643.803348956993</v>
      </c>
    </row>
    <row r="214" spans="2:5" x14ac:dyDescent="0.2">
      <c r="B214" s="5" t="s">
        <v>96</v>
      </c>
      <c r="C214" s="5" t="s">
        <v>476</v>
      </c>
      <c r="D214" s="5" t="s">
        <v>477</v>
      </c>
      <c r="E214" s="18">
        <v>13360.375597737755</v>
      </c>
    </row>
    <row r="215" spans="2:5" x14ac:dyDescent="0.2">
      <c r="B215" s="5" t="s">
        <v>96</v>
      </c>
      <c r="C215" s="5" t="s">
        <v>364</v>
      </c>
      <c r="D215" s="5" t="s">
        <v>478</v>
      </c>
      <c r="E215" s="18">
        <v>6321.25</v>
      </c>
    </row>
    <row r="216" spans="2:5" x14ac:dyDescent="0.2">
      <c r="B216" s="5" t="s">
        <v>96</v>
      </c>
      <c r="C216" s="5" t="s">
        <v>289</v>
      </c>
      <c r="D216" s="5" t="s">
        <v>479</v>
      </c>
      <c r="E216" s="18">
        <v>1799.3804599150535</v>
      </c>
    </row>
    <row r="217" spans="2:5" x14ac:dyDescent="0.2">
      <c r="B217" s="5" t="s">
        <v>96</v>
      </c>
      <c r="C217" s="5" t="s">
        <v>447</v>
      </c>
      <c r="D217" s="5" t="s">
        <v>480</v>
      </c>
      <c r="E217" s="18">
        <v>0.25</v>
      </c>
    </row>
    <row r="218" spans="2:5" x14ac:dyDescent="0.2">
      <c r="B218" s="5" t="s">
        <v>158</v>
      </c>
      <c r="C218" s="5" t="s">
        <v>481</v>
      </c>
      <c r="D218" s="5" t="s">
        <v>482</v>
      </c>
      <c r="E218" s="18">
        <v>803664602.9185636</v>
      </c>
    </row>
    <row r="219" spans="2:5" x14ac:dyDescent="0.2">
      <c r="B219" s="5" t="s">
        <v>158</v>
      </c>
      <c r="C219" s="5" t="s">
        <v>483</v>
      </c>
      <c r="D219" s="5" t="s">
        <v>484</v>
      </c>
      <c r="E219" s="18">
        <v>275650238.25902796</v>
      </c>
    </row>
    <row r="220" spans="2:5" x14ac:dyDescent="0.2">
      <c r="B220" s="5" t="s">
        <v>158</v>
      </c>
      <c r="C220" s="5" t="s">
        <v>485</v>
      </c>
      <c r="D220" s="5" t="s">
        <v>486</v>
      </c>
      <c r="E220" s="18">
        <v>142362945.1771622</v>
      </c>
    </row>
    <row r="221" spans="2:5" x14ac:dyDescent="0.2">
      <c r="B221" s="5" t="s">
        <v>158</v>
      </c>
      <c r="C221" s="5" t="s">
        <v>487</v>
      </c>
      <c r="D221" s="5" t="s">
        <v>488</v>
      </c>
      <c r="E221" s="18">
        <v>151488767.79884976</v>
      </c>
    </row>
    <row r="222" spans="2:5" x14ac:dyDescent="0.2">
      <c r="B222" s="5" t="s">
        <v>158</v>
      </c>
      <c r="C222" s="5" t="s">
        <v>489</v>
      </c>
      <c r="D222" s="5" t="s">
        <v>490</v>
      </c>
      <c r="E222" s="18">
        <v>251421136.8500447</v>
      </c>
    </row>
    <row r="223" spans="2:5" x14ac:dyDescent="0.2">
      <c r="B223" s="5" t="s">
        <v>158</v>
      </c>
      <c r="C223" s="5" t="s">
        <v>491</v>
      </c>
      <c r="D223" s="5" t="s">
        <v>492</v>
      </c>
      <c r="E223" s="18">
        <v>68743797.730103672</v>
      </c>
    </row>
    <row r="224" spans="2:5" x14ac:dyDescent="0.2">
      <c r="B224" s="5" t="s">
        <v>158</v>
      </c>
      <c r="C224" s="5" t="s">
        <v>493</v>
      </c>
      <c r="D224" s="5" t="s">
        <v>494</v>
      </c>
      <c r="E224" s="18">
        <v>397367413.95651174</v>
      </c>
    </row>
    <row r="225" spans="2:5" x14ac:dyDescent="0.2">
      <c r="B225" s="5" t="s">
        <v>158</v>
      </c>
      <c r="C225" s="5" t="s">
        <v>495</v>
      </c>
      <c r="D225" s="5" t="s">
        <v>496</v>
      </c>
      <c r="E225" s="18">
        <v>127360808.10528105</v>
      </c>
    </row>
    <row r="226" spans="2:5" x14ac:dyDescent="0.2">
      <c r="B226" s="5" t="s">
        <v>158</v>
      </c>
      <c r="C226" s="5" t="s">
        <v>497</v>
      </c>
      <c r="D226" s="5" t="s">
        <v>498</v>
      </c>
      <c r="E226" s="18">
        <v>215281329.1286867</v>
      </c>
    </row>
    <row r="227" spans="2:5" x14ac:dyDescent="0.2">
      <c r="B227" s="5" t="s">
        <v>150</v>
      </c>
      <c r="C227" s="5" t="s">
        <v>499</v>
      </c>
      <c r="D227" s="5" t="s">
        <v>500</v>
      </c>
      <c r="E227" s="18">
        <v>274353652.46144283</v>
      </c>
    </row>
    <row r="228" spans="2:5" x14ac:dyDescent="0.2">
      <c r="B228" s="5" t="s">
        <v>150</v>
      </c>
      <c r="C228" s="5" t="s">
        <v>501</v>
      </c>
      <c r="D228" s="5" t="s">
        <v>502</v>
      </c>
      <c r="E228" s="18">
        <v>55347322.505206011</v>
      </c>
    </row>
    <row r="229" spans="2:5" x14ac:dyDescent="0.2">
      <c r="B229" s="5" t="s">
        <v>150</v>
      </c>
      <c r="C229" s="5" t="s">
        <v>503</v>
      </c>
      <c r="D229" s="5" t="s">
        <v>504</v>
      </c>
      <c r="E229" s="18">
        <v>295054321.93363166</v>
      </c>
    </row>
    <row r="230" spans="2:5" x14ac:dyDescent="0.2">
      <c r="B230" s="5" t="s">
        <v>150</v>
      </c>
      <c r="C230" s="5" t="s">
        <v>505</v>
      </c>
      <c r="D230" s="5" t="s">
        <v>506</v>
      </c>
      <c r="E230" s="18">
        <v>352065191.36573982</v>
      </c>
    </row>
    <row r="231" spans="2:5" x14ac:dyDescent="0.2">
      <c r="B231" s="5" t="s">
        <v>150</v>
      </c>
      <c r="C231" s="5" t="s">
        <v>507</v>
      </c>
      <c r="D231" s="5" t="s">
        <v>508</v>
      </c>
      <c r="E231" s="18">
        <v>34781832.182185583</v>
      </c>
    </row>
    <row r="232" spans="2:5" x14ac:dyDescent="0.2">
      <c r="B232" s="5" t="s">
        <v>150</v>
      </c>
      <c r="C232" s="5" t="s">
        <v>254</v>
      </c>
      <c r="D232" s="5" t="s">
        <v>509</v>
      </c>
      <c r="E232" s="18">
        <v>243033499.72289044</v>
      </c>
    </row>
    <row r="233" spans="2:5" x14ac:dyDescent="0.2">
      <c r="B233" s="5" t="s">
        <v>150</v>
      </c>
      <c r="C233" s="5" t="s">
        <v>510</v>
      </c>
      <c r="D233" s="5" t="s">
        <v>511</v>
      </c>
      <c r="E233" s="18">
        <v>428499193.961573</v>
      </c>
    </row>
    <row r="234" spans="2:5" x14ac:dyDescent="0.2">
      <c r="B234" s="5" t="s">
        <v>152</v>
      </c>
      <c r="C234" s="5" t="s">
        <v>512</v>
      </c>
      <c r="D234" s="5" t="s">
        <v>513</v>
      </c>
      <c r="E234" s="18">
        <v>917455554.19712305</v>
      </c>
    </row>
    <row r="235" spans="2:5" x14ac:dyDescent="0.2">
      <c r="B235" s="5" t="s">
        <v>152</v>
      </c>
      <c r="C235" s="5" t="s">
        <v>514</v>
      </c>
      <c r="D235" s="5" t="s">
        <v>515</v>
      </c>
      <c r="E235" s="18">
        <v>476256758.8167212</v>
      </c>
    </row>
    <row r="236" spans="2:5" x14ac:dyDescent="0.2">
      <c r="B236" s="5" t="s">
        <v>152</v>
      </c>
      <c r="C236" s="5" t="s">
        <v>516</v>
      </c>
      <c r="D236" s="5" t="s">
        <v>517</v>
      </c>
      <c r="E236" s="18">
        <v>632624326.0783174</v>
      </c>
    </row>
    <row r="237" spans="2:5" x14ac:dyDescent="0.2">
      <c r="B237" s="5" t="s">
        <v>152</v>
      </c>
      <c r="C237" s="5" t="s">
        <v>518</v>
      </c>
      <c r="D237" s="5" t="s">
        <v>519</v>
      </c>
      <c r="E237" s="18">
        <v>221633482.300087</v>
      </c>
    </row>
    <row r="238" spans="2:5" x14ac:dyDescent="0.2">
      <c r="B238" s="5" t="s">
        <v>152</v>
      </c>
      <c r="C238" s="5" t="s">
        <v>520</v>
      </c>
      <c r="D238" s="5" t="s">
        <v>521</v>
      </c>
      <c r="E238" s="18">
        <v>61438109.928188823</v>
      </c>
    </row>
    <row r="239" spans="2:5" x14ac:dyDescent="0.2">
      <c r="B239" s="5" t="s">
        <v>152</v>
      </c>
      <c r="C239" s="5" t="s">
        <v>522</v>
      </c>
      <c r="D239" s="5" t="s">
        <v>523</v>
      </c>
      <c r="E239" s="18">
        <v>628497058.39966214</v>
      </c>
    </row>
    <row r="240" spans="2:5" x14ac:dyDescent="0.2">
      <c r="B240" s="5" t="s">
        <v>152</v>
      </c>
      <c r="C240" s="5" t="s">
        <v>242</v>
      </c>
      <c r="D240" s="5" t="s">
        <v>524</v>
      </c>
      <c r="E240" s="18">
        <v>307349060.09679556</v>
      </c>
    </row>
    <row r="241" spans="2:5" x14ac:dyDescent="0.2">
      <c r="B241" s="5" t="s">
        <v>152</v>
      </c>
      <c r="C241" s="5" t="s">
        <v>525</v>
      </c>
      <c r="D241" s="5" t="s">
        <v>526</v>
      </c>
      <c r="E241" s="18">
        <v>621283728.17832673</v>
      </c>
    </row>
    <row r="242" spans="2:5" x14ac:dyDescent="0.2">
      <c r="B242" s="5" t="s">
        <v>152</v>
      </c>
      <c r="C242" s="5" t="s">
        <v>443</v>
      </c>
      <c r="D242" s="5" t="s">
        <v>527</v>
      </c>
      <c r="E242" s="18">
        <v>2299484511.4953012</v>
      </c>
    </row>
    <row r="243" spans="2:5" x14ac:dyDescent="0.2">
      <c r="B243" s="5" t="s">
        <v>152</v>
      </c>
      <c r="C243" s="5" t="s">
        <v>528</v>
      </c>
      <c r="D243" s="5" t="s">
        <v>529</v>
      </c>
      <c r="E243" s="18">
        <v>695987890.3205353</v>
      </c>
    </row>
    <row r="244" spans="2:5" x14ac:dyDescent="0.2">
      <c r="B244" s="5" t="s">
        <v>152</v>
      </c>
      <c r="C244" s="5" t="s">
        <v>530</v>
      </c>
      <c r="D244" s="5" t="s">
        <v>531</v>
      </c>
      <c r="E244" s="18">
        <v>410969279.233877</v>
      </c>
    </row>
    <row r="245" spans="2:5" x14ac:dyDescent="0.2">
      <c r="B245" s="5" t="s">
        <v>152</v>
      </c>
      <c r="C245" s="5" t="s">
        <v>532</v>
      </c>
      <c r="D245" s="5" t="s">
        <v>533</v>
      </c>
      <c r="E245" s="18">
        <v>513406638.18472797</v>
      </c>
    </row>
    <row r="246" spans="2:5" x14ac:dyDescent="0.2">
      <c r="B246" s="5" t="s">
        <v>152</v>
      </c>
      <c r="C246" s="5" t="s">
        <v>534</v>
      </c>
      <c r="D246" s="5" t="s">
        <v>535</v>
      </c>
      <c r="E246" s="18">
        <v>161835760.39084077</v>
      </c>
    </row>
    <row r="247" spans="2:5" x14ac:dyDescent="0.2">
      <c r="B247" s="5" t="s">
        <v>152</v>
      </c>
      <c r="C247" s="5" t="s">
        <v>536</v>
      </c>
      <c r="D247" s="5" t="s">
        <v>537</v>
      </c>
      <c r="E247" s="18">
        <v>473777311.78788495</v>
      </c>
    </row>
    <row r="248" spans="2:5" x14ac:dyDescent="0.2">
      <c r="B248" s="5" t="s">
        <v>152</v>
      </c>
      <c r="C248" s="5" t="s">
        <v>538</v>
      </c>
      <c r="D248" s="5" t="s">
        <v>539</v>
      </c>
      <c r="E248" s="18">
        <v>289225655.58229518</v>
      </c>
    </row>
    <row r="249" spans="2:5" x14ac:dyDescent="0.2">
      <c r="B249" s="5" t="s">
        <v>154</v>
      </c>
      <c r="C249" s="5" t="s">
        <v>540</v>
      </c>
      <c r="D249" s="5" t="s">
        <v>541</v>
      </c>
      <c r="E249" s="18">
        <v>216666547.87643343</v>
      </c>
    </row>
    <row r="250" spans="2:5" x14ac:dyDescent="0.2">
      <c r="B250" s="5" t="s">
        <v>154</v>
      </c>
      <c r="C250" s="5" t="s">
        <v>542</v>
      </c>
      <c r="D250" s="5" t="s">
        <v>543</v>
      </c>
      <c r="E250" s="18">
        <v>186769967.60984966</v>
      </c>
    </row>
    <row r="251" spans="2:5" x14ac:dyDescent="0.2">
      <c r="B251" s="5" t="s">
        <v>116</v>
      </c>
      <c r="C251" s="5" t="s">
        <v>544</v>
      </c>
      <c r="D251" s="5" t="s">
        <v>545</v>
      </c>
      <c r="E251" s="18">
        <v>21358459.124202482</v>
      </c>
    </row>
    <row r="252" spans="2:5" x14ac:dyDescent="0.2">
      <c r="B252" s="5" t="s">
        <v>116</v>
      </c>
      <c r="C252" s="5" t="s">
        <v>546</v>
      </c>
      <c r="D252" s="5" t="s">
        <v>547</v>
      </c>
      <c r="E252" s="18">
        <v>200144638.87848723</v>
      </c>
    </row>
    <row r="253" spans="2:5" x14ac:dyDescent="0.2">
      <c r="B253" s="5" t="s">
        <v>116</v>
      </c>
      <c r="C253" s="5" t="s">
        <v>226</v>
      </c>
      <c r="D253" s="5" t="s">
        <v>548</v>
      </c>
      <c r="E253" s="18">
        <v>11985260.980906678</v>
      </c>
    </row>
    <row r="254" spans="2:5" x14ac:dyDescent="0.2">
      <c r="B254" s="5" t="s">
        <v>116</v>
      </c>
      <c r="C254" s="5" t="s">
        <v>311</v>
      </c>
      <c r="D254" s="5" t="s">
        <v>549</v>
      </c>
      <c r="E254" s="18">
        <v>28987812.531477563</v>
      </c>
    </row>
    <row r="255" spans="2:5" x14ac:dyDescent="0.2">
      <c r="B255" s="5" t="s">
        <v>174</v>
      </c>
      <c r="C255" s="5" t="s">
        <v>422</v>
      </c>
      <c r="D255" s="5" t="s">
        <v>550</v>
      </c>
      <c r="E255" s="18">
        <v>0</v>
      </c>
    </row>
    <row r="256" spans="2:5" x14ac:dyDescent="0.2">
      <c r="B256" s="5" t="s">
        <v>156</v>
      </c>
      <c r="C256" s="5" t="s">
        <v>465</v>
      </c>
      <c r="D256" s="5" t="s">
        <v>551</v>
      </c>
      <c r="E256" s="18">
        <v>733835733.07198071</v>
      </c>
    </row>
    <row r="257" spans="2:5" x14ac:dyDescent="0.2">
      <c r="B257" s="5" t="s">
        <v>156</v>
      </c>
      <c r="C257" s="5" t="s">
        <v>269</v>
      </c>
      <c r="D257" s="5" t="s">
        <v>552</v>
      </c>
      <c r="E257" s="18">
        <v>123719255.68606712</v>
      </c>
    </row>
    <row r="258" spans="2:5" x14ac:dyDescent="0.2">
      <c r="B258" s="5" t="s">
        <v>156</v>
      </c>
      <c r="C258" s="5" t="s">
        <v>553</v>
      </c>
      <c r="D258" s="5" t="s">
        <v>554</v>
      </c>
      <c r="E258" s="18">
        <v>399471.45715294901</v>
      </c>
    </row>
    <row r="259" spans="2:5" x14ac:dyDescent="0.2">
      <c r="B259" s="5" t="s">
        <v>156</v>
      </c>
      <c r="C259" s="5" t="s">
        <v>555</v>
      </c>
      <c r="D259" s="5" t="s">
        <v>556</v>
      </c>
      <c r="E259" s="18">
        <v>514968887.10756654</v>
      </c>
    </row>
    <row r="260" spans="2:5" x14ac:dyDescent="0.2">
      <c r="B260" s="5" t="s">
        <v>164</v>
      </c>
      <c r="C260" s="5" t="s">
        <v>472</v>
      </c>
      <c r="D260" s="5" t="s">
        <v>557</v>
      </c>
      <c r="E260" s="18">
        <v>240503969.75198984</v>
      </c>
    </row>
    <row r="261" spans="2:5" x14ac:dyDescent="0.2">
      <c r="B261" s="5" t="s">
        <v>160</v>
      </c>
      <c r="C261" s="5" t="s">
        <v>558</v>
      </c>
      <c r="D261" s="5" t="s">
        <v>559</v>
      </c>
      <c r="E261" s="18">
        <v>1865104.3559094134</v>
      </c>
    </row>
    <row r="262" spans="2:5" x14ac:dyDescent="0.2">
      <c r="B262" s="5" t="s">
        <v>160</v>
      </c>
      <c r="C262" s="5" t="s">
        <v>560</v>
      </c>
      <c r="D262" s="5" t="s">
        <v>561</v>
      </c>
      <c r="E262" s="18">
        <v>43678492.39713233</v>
      </c>
    </row>
    <row r="263" spans="2:5" x14ac:dyDescent="0.2">
      <c r="B263" s="5" t="s">
        <v>160</v>
      </c>
      <c r="C263" s="5" t="s">
        <v>562</v>
      </c>
      <c r="D263" s="5" t="s">
        <v>563</v>
      </c>
      <c r="E263" s="18">
        <v>57207894.887412287</v>
      </c>
    </row>
    <row r="264" spans="2:5" x14ac:dyDescent="0.2">
      <c r="B264" s="5" t="s">
        <v>160</v>
      </c>
      <c r="C264" s="5" t="s">
        <v>564</v>
      </c>
      <c r="D264" s="5" t="s">
        <v>565</v>
      </c>
      <c r="E264" s="18">
        <v>113427746.98492704</v>
      </c>
    </row>
    <row r="265" spans="2:5" x14ac:dyDescent="0.2">
      <c r="B265" s="5" t="s">
        <v>160</v>
      </c>
      <c r="C265" s="5" t="s">
        <v>566</v>
      </c>
      <c r="D265" s="5" t="s">
        <v>567</v>
      </c>
      <c r="E265" s="18">
        <v>8118401.2875930602</v>
      </c>
    </row>
    <row r="266" spans="2:5" x14ac:dyDescent="0.2">
      <c r="B266" s="5" t="s">
        <v>160</v>
      </c>
      <c r="C266" s="5" t="s">
        <v>568</v>
      </c>
      <c r="D266" s="5" t="s">
        <v>569</v>
      </c>
      <c r="E266" s="18">
        <v>1504576.10688252</v>
      </c>
    </row>
    <row r="267" spans="2:5" x14ac:dyDescent="0.2">
      <c r="B267" s="5" t="s">
        <v>160</v>
      </c>
      <c r="C267" s="5" t="s">
        <v>570</v>
      </c>
      <c r="D267" s="5" t="s">
        <v>571</v>
      </c>
      <c r="E267" s="18">
        <v>26934197.291649047</v>
      </c>
    </row>
    <row r="268" spans="2:5" x14ac:dyDescent="0.2">
      <c r="B268" s="5" t="s">
        <v>146</v>
      </c>
      <c r="C268" s="5" t="s">
        <v>572</v>
      </c>
      <c r="D268" s="5" t="s">
        <v>573</v>
      </c>
      <c r="E268" s="18">
        <v>209234858.51162958</v>
      </c>
    </row>
    <row r="269" spans="2:5" x14ac:dyDescent="0.2">
      <c r="B269" s="5" t="s">
        <v>146</v>
      </c>
      <c r="C269" s="5" t="s">
        <v>574</v>
      </c>
      <c r="D269" s="5" t="s">
        <v>575</v>
      </c>
      <c r="E269" s="18">
        <v>17432104.189480565</v>
      </c>
    </row>
    <row r="270" spans="2:5" x14ac:dyDescent="0.2">
      <c r="B270" s="5" t="s">
        <v>146</v>
      </c>
      <c r="C270" s="5" t="s">
        <v>405</v>
      </c>
      <c r="D270" s="5" t="s">
        <v>576</v>
      </c>
      <c r="E270" s="18">
        <v>19064913.276332669</v>
      </c>
    </row>
    <row r="271" spans="2:5" x14ac:dyDescent="0.2">
      <c r="B271" s="5" t="s">
        <v>146</v>
      </c>
      <c r="C271" s="5" t="s">
        <v>577</v>
      </c>
      <c r="D271" s="5" t="s">
        <v>578</v>
      </c>
      <c r="E271" s="18">
        <v>47014813.842174768</v>
      </c>
    </row>
    <row r="272" spans="2:5" x14ac:dyDescent="0.2">
      <c r="B272" s="5" t="s">
        <v>146</v>
      </c>
      <c r="C272" s="5" t="s">
        <v>472</v>
      </c>
      <c r="D272" s="5" t="s">
        <v>579</v>
      </c>
      <c r="E272" s="18">
        <v>21332.625951468937</v>
      </c>
    </row>
    <row r="273" spans="2:5" x14ac:dyDescent="0.2">
      <c r="B273" s="5" t="s">
        <v>146</v>
      </c>
      <c r="C273" s="5" t="s">
        <v>276</v>
      </c>
      <c r="D273" s="5" t="s">
        <v>580</v>
      </c>
      <c r="E273" s="18">
        <v>34758197.629870832</v>
      </c>
    </row>
    <row r="278" spans="2:5" x14ac:dyDescent="0.2">
      <c r="B278" t="s">
        <v>581</v>
      </c>
    </row>
    <row r="279" spans="2:5" x14ac:dyDescent="0.2">
      <c r="C279" s="63"/>
    </row>
    <row r="280" spans="2:5" x14ac:dyDescent="0.2">
      <c r="B280" s="3" t="s">
        <v>582</v>
      </c>
      <c r="C280" t="s">
        <v>583</v>
      </c>
    </row>
    <row r="281" spans="2:5" x14ac:dyDescent="0.2">
      <c r="B281" s="14" t="s">
        <v>64</v>
      </c>
      <c r="C281" s="13">
        <v>807441758.80079627</v>
      </c>
    </row>
    <row r="282" spans="2:5" x14ac:dyDescent="0.2">
      <c r="B282" s="14" t="s">
        <v>72</v>
      </c>
      <c r="C282" s="13">
        <v>64988439.821759999</v>
      </c>
    </row>
    <row r="283" spans="2:5" x14ac:dyDescent="0.2">
      <c r="B283" s="14" t="s">
        <v>74</v>
      </c>
      <c r="C283" s="13">
        <v>116244161.72825974</v>
      </c>
    </row>
    <row r="284" spans="2:5" x14ac:dyDescent="0.2">
      <c r="B284" s="14" t="s">
        <v>78</v>
      </c>
      <c r="C284" s="13">
        <v>594682638.53226733</v>
      </c>
    </row>
    <row r="285" spans="2:5" x14ac:dyDescent="0.2">
      <c r="B285" s="14" t="s">
        <v>76</v>
      </c>
      <c r="C285" s="13">
        <v>7520721.5444087246</v>
      </c>
    </row>
    <row r="286" spans="2:5" x14ac:dyDescent="0.2">
      <c r="B286" s="14" t="s">
        <v>67</v>
      </c>
      <c r="C286" s="13">
        <v>1397234573.344038</v>
      </c>
    </row>
    <row r="287" spans="2:5" x14ac:dyDescent="0.2">
      <c r="B287" s="14" t="s">
        <v>82</v>
      </c>
      <c r="C287" s="13">
        <v>605647198.91170764</v>
      </c>
    </row>
    <row r="288" spans="2:5" x14ac:dyDescent="0.2">
      <c r="B288" s="14" t="s">
        <v>86</v>
      </c>
      <c r="C288" s="13">
        <v>306423642.62857062</v>
      </c>
    </row>
    <row r="289" spans="2:3" x14ac:dyDescent="0.2">
      <c r="B289" s="14" t="s">
        <v>88</v>
      </c>
      <c r="C289" s="13">
        <v>4792143.1851757336</v>
      </c>
    </row>
    <row r="290" spans="2:3" x14ac:dyDescent="0.2">
      <c r="B290" s="14" t="s">
        <v>84</v>
      </c>
      <c r="C290" s="13">
        <v>441580343.09946805</v>
      </c>
    </row>
    <row r="291" spans="2:3" x14ac:dyDescent="0.2">
      <c r="B291" s="14" t="s">
        <v>90</v>
      </c>
      <c r="C291" s="13">
        <v>519500798.82964933</v>
      </c>
    </row>
    <row r="292" spans="2:3" x14ac:dyDescent="0.2">
      <c r="B292" s="14" t="s">
        <v>162</v>
      </c>
      <c r="C292" s="13">
        <v>159588579.0945825</v>
      </c>
    </row>
    <row r="293" spans="2:3" x14ac:dyDescent="0.2">
      <c r="B293" s="14" t="s">
        <v>69</v>
      </c>
      <c r="C293" s="13">
        <v>60196660.750880986</v>
      </c>
    </row>
    <row r="294" spans="2:3" x14ac:dyDescent="0.2">
      <c r="B294" s="14" t="s">
        <v>98</v>
      </c>
      <c r="C294" s="13">
        <v>401755690.54426664</v>
      </c>
    </row>
    <row r="295" spans="2:3" x14ac:dyDescent="0.2">
      <c r="B295" s="14" t="s">
        <v>100</v>
      </c>
      <c r="C295" s="13">
        <v>553758.5</v>
      </c>
    </row>
    <row r="296" spans="2:3" x14ac:dyDescent="0.2">
      <c r="B296" s="14" t="s">
        <v>102</v>
      </c>
      <c r="C296" s="13">
        <v>687321.75</v>
      </c>
    </row>
    <row r="297" spans="2:3" x14ac:dyDescent="0.2">
      <c r="B297" s="14" t="s">
        <v>108</v>
      </c>
      <c r="C297" s="13">
        <v>9132302.0716800466</v>
      </c>
    </row>
    <row r="298" spans="2:3" x14ac:dyDescent="0.2">
      <c r="B298" s="14" t="s">
        <v>110</v>
      </c>
      <c r="C298" s="13">
        <v>49952259.571524277</v>
      </c>
    </row>
    <row r="299" spans="2:3" x14ac:dyDescent="0.2">
      <c r="B299" s="14" t="s">
        <v>94</v>
      </c>
      <c r="C299" s="13">
        <v>641620554.50348079</v>
      </c>
    </row>
    <row r="300" spans="2:3" x14ac:dyDescent="0.2">
      <c r="B300" s="14" t="s">
        <v>104</v>
      </c>
      <c r="C300" s="13">
        <v>75031190.410000101</v>
      </c>
    </row>
    <row r="301" spans="2:3" x14ac:dyDescent="0.2">
      <c r="B301" s="14" t="s">
        <v>106</v>
      </c>
      <c r="C301" s="13">
        <v>0</v>
      </c>
    </row>
    <row r="302" spans="2:3" x14ac:dyDescent="0.2">
      <c r="B302" s="14" t="s">
        <v>120</v>
      </c>
      <c r="C302" s="13">
        <v>106052.5</v>
      </c>
    </row>
    <row r="303" spans="2:3" x14ac:dyDescent="0.2">
      <c r="B303" s="14" t="s">
        <v>112</v>
      </c>
      <c r="C303" s="13">
        <v>52070375.561945967</v>
      </c>
    </row>
    <row r="304" spans="2:3" x14ac:dyDescent="0.2">
      <c r="B304" s="14" t="s">
        <v>124</v>
      </c>
      <c r="C304" s="13">
        <v>1105249290.3755393</v>
      </c>
    </row>
    <row r="305" spans="2:3" x14ac:dyDescent="0.2">
      <c r="B305" s="14" t="s">
        <v>122</v>
      </c>
      <c r="C305" s="13">
        <v>6311.5</v>
      </c>
    </row>
    <row r="306" spans="2:3" x14ac:dyDescent="0.2">
      <c r="B306" s="14" t="s">
        <v>128</v>
      </c>
      <c r="C306" s="13">
        <v>5064546057.4357309</v>
      </c>
    </row>
    <row r="307" spans="2:3" x14ac:dyDescent="0.2">
      <c r="B307" s="14" t="s">
        <v>118</v>
      </c>
      <c r="C307" s="13">
        <v>1082038483.1904964</v>
      </c>
    </row>
    <row r="308" spans="2:3" x14ac:dyDescent="0.2">
      <c r="B308" s="14" t="s">
        <v>130</v>
      </c>
      <c r="C308" s="13">
        <v>0</v>
      </c>
    </row>
    <row r="309" spans="2:3" x14ac:dyDescent="0.2">
      <c r="B309" s="14" t="s">
        <v>132</v>
      </c>
      <c r="C309" s="13">
        <v>3297306964.1578093</v>
      </c>
    </row>
    <row r="310" spans="2:3" x14ac:dyDescent="0.2">
      <c r="B310" s="14" t="s">
        <v>134</v>
      </c>
      <c r="C310" s="13">
        <v>513137202.17796659</v>
      </c>
    </row>
    <row r="311" spans="2:3" x14ac:dyDescent="0.2">
      <c r="B311" s="14" t="s">
        <v>136</v>
      </c>
      <c r="C311" s="13">
        <v>5104311661.5706635</v>
      </c>
    </row>
    <row r="312" spans="2:3" x14ac:dyDescent="0.2">
      <c r="B312" s="14" t="s">
        <v>138</v>
      </c>
      <c r="C312" s="13">
        <v>1487246910.1275415</v>
      </c>
    </row>
    <row r="313" spans="2:3" x14ac:dyDescent="0.2">
      <c r="B313" s="14" t="s">
        <v>80</v>
      </c>
      <c r="C313" s="13">
        <v>57918041.432570472</v>
      </c>
    </row>
    <row r="314" spans="2:3" x14ac:dyDescent="0.2">
      <c r="B314" s="14" t="s">
        <v>140</v>
      </c>
      <c r="C314" s="13">
        <v>82572117.083435386</v>
      </c>
    </row>
    <row r="315" spans="2:3" x14ac:dyDescent="0.2">
      <c r="B315" s="14" t="s">
        <v>142</v>
      </c>
      <c r="C315" s="13">
        <v>461368.45735014166</v>
      </c>
    </row>
    <row r="316" spans="2:3" x14ac:dyDescent="0.2">
      <c r="B316" s="14" t="s">
        <v>445</v>
      </c>
      <c r="C316" s="13">
        <v>662943706.6193105</v>
      </c>
    </row>
    <row r="317" spans="2:3" x14ac:dyDescent="0.2">
      <c r="B317" s="14" t="s">
        <v>172</v>
      </c>
      <c r="C317" s="13">
        <v>0</v>
      </c>
    </row>
    <row r="318" spans="2:3" x14ac:dyDescent="0.2">
      <c r="B318" s="14" t="s">
        <v>144</v>
      </c>
      <c r="C318" s="13">
        <v>569775.37250000087</v>
      </c>
    </row>
    <row r="319" spans="2:3" x14ac:dyDescent="0.2">
      <c r="B319" s="14" t="s">
        <v>114</v>
      </c>
      <c r="C319" s="13">
        <v>750881543.53701854</v>
      </c>
    </row>
    <row r="320" spans="2:3" x14ac:dyDescent="0.2">
      <c r="B320" s="14" t="s">
        <v>126</v>
      </c>
      <c r="C320" s="13">
        <v>48088472.146270871</v>
      </c>
    </row>
    <row r="321" spans="2:3" x14ac:dyDescent="0.2">
      <c r="B321" s="14" t="s">
        <v>148</v>
      </c>
      <c r="C321" s="13">
        <v>358900599.67369318</v>
      </c>
    </row>
    <row r="322" spans="2:3" x14ac:dyDescent="0.2">
      <c r="B322" s="14" t="s">
        <v>92</v>
      </c>
      <c r="C322" s="13">
        <v>50674503.036744997</v>
      </c>
    </row>
    <row r="323" spans="2:3" x14ac:dyDescent="0.2">
      <c r="B323" s="14" t="s">
        <v>96</v>
      </c>
      <c r="C323" s="13">
        <v>112125.0594066098</v>
      </c>
    </row>
    <row r="324" spans="2:3" x14ac:dyDescent="0.2">
      <c r="B324" s="14" t="s">
        <v>158</v>
      </c>
      <c r="C324" s="13">
        <v>2433341039.9242315</v>
      </c>
    </row>
    <row r="325" spans="2:3" x14ac:dyDescent="0.2">
      <c r="B325" s="14" t="s">
        <v>150</v>
      </c>
      <c r="C325" s="13">
        <v>1683135014.1326694</v>
      </c>
    </row>
    <row r="326" spans="2:3" x14ac:dyDescent="0.2">
      <c r="B326" s="14" t="s">
        <v>152</v>
      </c>
      <c r="C326" s="13">
        <v>8711225124.9906826</v>
      </c>
    </row>
    <row r="327" spans="2:3" x14ac:dyDescent="0.2">
      <c r="B327" s="14" t="s">
        <v>154</v>
      </c>
      <c r="C327" s="13">
        <v>403436515.48628306</v>
      </c>
    </row>
    <row r="328" spans="2:3" x14ac:dyDescent="0.2">
      <c r="B328" s="14" t="s">
        <v>116</v>
      </c>
      <c r="C328" s="13">
        <v>262476171.51507396</v>
      </c>
    </row>
    <row r="329" spans="2:3" x14ac:dyDescent="0.2">
      <c r="B329" s="14" t="s">
        <v>174</v>
      </c>
      <c r="C329" s="13">
        <v>0</v>
      </c>
    </row>
    <row r="330" spans="2:3" x14ac:dyDescent="0.2">
      <c r="B330" s="14" t="s">
        <v>156</v>
      </c>
      <c r="C330" s="13">
        <v>1372923347.3227673</v>
      </c>
    </row>
    <row r="331" spans="2:3" x14ac:dyDescent="0.2">
      <c r="B331" s="14" t="s">
        <v>164</v>
      </c>
      <c r="C331" s="13">
        <v>240503969.75198984</v>
      </c>
    </row>
    <row r="332" spans="2:3" x14ac:dyDescent="0.2">
      <c r="B332" s="14" t="s">
        <v>160</v>
      </c>
      <c r="C332" s="13">
        <v>252736413.31150568</v>
      </c>
    </row>
    <row r="333" spans="2:3" x14ac:dyDescent="0.2">
      <c r="B333" s="14" t="s">
        <v>146</v>
      </c>
      <c r="C333" s="13">
        <v>327526220.07543993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3D64-1881-4F1B-A0C6-EAC5A215B77D}">
  <sheetPr>
    <tabColor theme="2" tint="-0.499984740745262"/>
  </sheetPr>
  <dimension ref="B7"/>
  <sheetViews>
    <sheetView showGridLines="0" workbookViewId="0"/>
  </sheetViews>
  <sheetFormatPr defaultRowHeight="14.25" x14ac:dyDescent="0.2"/>
  <sheetData>
    <row r="7" spans="2:2" x14ac:dyDescent="0.2">
      <c r="B7" s="115" t="s">
        <v>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484DB-926F-4234-980B-309DECF65DC1}">
  <sheetPr>
    <tabColor theme="2" tint="-0.249977111117893"/>
  </sheetPr>
  <dimension ref="A1:I90"/>
  <sheetViews>
    <sheetView showGridLines="0" zoomScale="55" zoomScaleNormal="55" workbookViewId="0"/>
  </sheetViews>
  <sheetFormatPr defaultRowHeight="14.25" x14ac:dyDescent="0.2"/>
  <cols>
    <col min="1" max="1" width="11.25" customWidth="1"/>
    <col min="2" max="2" width="23.875" customWidth="1"/>
    <col min="3" max="3" width="20.125" customWidth="1"/>
    <col min="4" max="5" width="18.375" customWidth="1"/>
    <col min="6" max="7" width="18.5" customWidth="1"/>
    <col min="8" max="8" width="20.375" customWidth="1"/>
    <col min="9" max="9" width="18" customWidth="1"/>
    <col min="10" max="10" width="17.625" customWidth="1"/>
    <col min="11" max="11" width="24.125" customWidth="1"/>
    <col min="13" max="13" width="21" customWidth="1"/>
    <col min="14" max="14" width="18" customWidth="1"/>
    <col min="16" max="16" width="22.25" customWidth="1"/>
    <col min="17" max="17" width="29" customWidth="1"/>
    <col min="18" max="18" width="36.25" customWidth="1"/>
  </cols>
  <sheetData>
    <row r="1" spans="1:9" ht="27.75" x14ac:dyDescent="0.4">
      <c r="A1" s="113" t="s">
        <v>584</v>
      </c>
    </row>
    <row r="4" spans="1:9" ht="23.25" x14ac:dyDescent="0.35">
      <c r="A4" s="28" t="s">
        <v>585</v>
      </c>
    </row>
    <row r="6" spans="1:9" ht="48.75" customHeight="1" x14ac:dyDescent="0.2">
      <c r="C6" s="103" t="s">
        <v>586</v>
      </c>
      <c r="D6" s="104" t="s">
        <v>587</v>
      </c>
      <c r="E6" s="105" t="s">
        <v>588</v>
      </c>
      <c r="F6" s="104" t="s">
        <v>589</v>
      </c>
      <c r="G6" s="104" t="s">
        <v>590</v>
      </c>
    </row>
    <row r="7" spans="1:9" ht="19.5" customHeight="1" x14ac:dyDescent="0.2">
      <c r="C7" t="s">
        <v>65</v>
      </c>
      <c r="D7" s="52">
        <f>SUMIF('Calculations - Part 2'!$C$154:$C$203,$C7,'Calculations - Part 2'!E$154:E$203)</f>
        <v>399374198.74231726</v>
      </c>
      <c r="E7" s="52">
        <f>SUMIF('Calculations - Part 2'!$C$154:$C$203,$C7,'Calculations - Part 2'!F$154:F$203)</f>
        <v>399534771.22103733</v>
      </c>
      <c r="F7" s="52">
        <f>IF(ISERROR(E7-D7),"",E7-D7)</f>
        <v>160572.47872006893</v>
      </c>
      <c r="G7" s="74">
        <f>IF(ISERROR(E7/D7-1),"",E7/D7-1)</f>
        <v>4.0206022128042029E-4</v>
      </c>
    </row>
    <row r="8" spans="1:9" x14ac:dyDescent="0.2">
      <c r="C8" t="s">
        <v>41</v>
      </c>
      <c r="D8" s="52">
        <f>SUMIF('Calculations - Part 2'!$C$154:$C$203,$C8,'Calculations - Part 2'!E$154:E$203)</f>
        <v>6065286.7711888514</v>
      </c>
      <c r="E8" s="52">
        <f>SUMIF('Calculations - Part 2'!$C$154:$C$203,$C8,'Calculations - Part 2'!F$154:F$203)</f>
        <v>5821611.3494925974</v>
      </c>
      <c r="F8" s="52">
        <f>IF(ISERROR(E8-D8),"",E8-D8)</f>
        <v>-243675.42169625405</v>
      </c>
      <c r="G8" s="70">
        <f>IF(ISERROR(E8/D8-1),"",E8/D8-1)</f>
        <v>-4.0175416412914555E-2</v>
      </c>
      <c r="I8" s="52"/>
    </row>
    <row r="9" spans="1:9" x14ac:dyDescent="0.2">
      <c r="C9" t="s">
        <v>70</v>
      </c>
      <c r="D9" s="72">
        <f>SUMIF('Calculations - Part 2'!$C$154:$C$203,$C9,'Calculations - Part 2'!E$154:E$203)</f>
        <v>48879714.207830772</v>
      </c>
      <c r="E9" s="72">
        <f>SUMIF('Calculations - Part 2'!$C$154:$C$203,$C9,'Calculations - Part 2'!F$154:F$203)</f>
        <v>48962817.150806993</v>
      </c>
      <c r="F9" s="72">
        <f>IF(ISERROR(E9-D9),"",E9-D9)</f>
        <v>83102.942976221442</v>
      </c>
      <c r="G9" s="70">
        <f>IF(ISERROR(E9/D9-1),"",E9/D9-1)</f>
        <v>1.7001519817172461E-3</v>
      </c>
      <c r="I9" s="74"/>
    </row>
    <row r="10" spans="1:9" ht="15" x14ac:dyDescent="0.25">
      <c r="D10" s="53">
        <f>SUM(D7:D9)</f>
        <v>454319199.7213369</v>
      </c>
      <c r="E10" s="53">
        <f>SUM(E7:E9)</f>
        <v>454319199.72133696</v>
      </c>
      <c r="F10" s="53">
        <f>SUM(F6:F9)</f>
        <v>3.6321580410003662E-8</v>
      </c>
    </row>
    <row r="13" spans="1:9" ht="15" customHeight="1" x14ac:dyDescent="0.25">
      <c r="A13" s="53"/>
      <c r="B13" s="53"/>
    </row>
    <row r="14" spans="1:9" ht="33" customHeight="1" x14ac:dyDescent="0.2">
      <c r="B14" s="106" t="s">
        <v>34</v>
      </c>
      <c r="C14" s="58"/>
      <c r="D14" s="71" t="s">
        <v>591</v>
      </c>
      <c r="E14" s="71" t="s">
        <v>592</v>
      </c>
      <c r="F14" s="71" t="s">
        <v>589</v>
      </c>
      <c r="G14" s="71" t="s">
        <v>593</v>
      </c>
    </row>
    <row r="15" spans="1:9" ht="14.25" customHeight="1" x14ac:dyDescent="0.2">
      <c r="B15" t="s">
        <v>131</v>
      </c>
      <c r="D15" s="52">
        <f>VLOOKUP($B15,'Calculations - Part 2'!$B$154:$H$203,MATCH(D$14,'Calculations - Part 2'!$B$153:$H$153,0),0)</f>
        <v>42272086.01253964</v>
      </c>
      <c r="E15" s="52">
        <f>VLOOKUP($B15,'Calculations - Part 2'!$B$154:$H$203,MATCH(E$14,'Calculations - Part 2'!$B$153:$H$153,0),0)</f>
        <v>42185831.936495475</v>
      </c>
      <c r="F15" s="52">
        <f>VLOOKUP($B15,'Calculations - Part 2'!$B$154:$H$203,MATCH(F$14,'Calculations - Part 2'!$B$153:$H$153,0),0)</f>
        <v>-86254.076044164598</v>
      </c>
      <c r="G15" s="70">
        <f>VLOOKUP($B15,'Calculations - Part 2'!$B$154:$H$203,MATCH(G$14,'Calculations - Part 2'!$B$153:$H$153,0),0)</f>
        <v>-2.0404499559965039E-3</v>
      </c>
    </row>
    <row r="16" spans="1:9" x14ac:dyDescent="0.2">
      <c r="B16" t="s">
        <v>83</v>
      </c>
      <c r="D16" s="52">
        <f>VLOOKUP($B16,'Calculations - Part 2'!$B$154:$H$203,MATCH(D$14,'Calculations - Part 2'!$B$153:$H$153,0),0)</f>
        <v>6257052.6843106346</v>
      </c>
      <c r="E16" s="52">
        <f>VLOOKUP($B16,'Calculations - Part 2'!$B$154:$H$203,MATCH(E$14,'Calculations - Part 2'!$B$153:$H$153,0),0)</f>
        <v>6227342.2877515191</v>
      </c>
      <c r="F16" s="52">
        <f>VLOOKUP($B16,'Calculations - Part 2'!$B$154:$H$203,MATCH(F$14,'Calculations - Part 2'!$B$153:$H$153,0),0)</f>
        <v>-29710.396559115499</v>
      </c>
      <c r="G16" s="70">
        <f>VLOOKUP($B16,'Calculations - Part 2'!$B$154:$H$203,MATCH(G$14,'Calculations - Part 2'!$B$153:$H$153,0),0)</f>
        <v>-4.7483053217073357E-3</v>
      </c>
    </row>
    <row r="17" spans="2:7" x14ac:dyDescent="0.2">
      <c r="B17" t="s">
        <v>115</v>
      </c>
      <c r="D17" s="52">
        <f>VLOOKUP($B17,'Calculations - Part 2'!$B$154:$H$203,MATCH(D$14,'Calculations - Part 2'!$B$153:$H$153,0),0)</f>
        <v>3649729.3480628724</v>
      </c>
      <c r="E17" s="52">
        <f>VLOOKUP($B17,'Calculations - Part 2'!$B$154:$H$203,MATCH(E$14,'Calculations - Part 2'!$B$153:$H$153,0),0)</f>
        <v>3625511.2177521363</v>
      </c>
      <c r="F17" s="52">
        <f>VLOOKUP($B17,'Calculations - Part 2'!$B$154:$H$203,MATCH(F$14,'Calculations - Part 2'!$B$153:$H$153,0),0)</f>
        <v>-24218.130310736131</v>
      </c>
      <c r="G17" s="70">
        <f>VLOOKUP($B17,'Calculations - Part 2'!$B$154:$H$203,MATCH(G$14,'Calculations - Part 2'!$B$153:$H$153,0),0)</f>
        <v>-6.6355962322494078E-3</v>
      </c>
    </row>
    <row r="18" spans="2:7" x14ac:dyDescent="0.2">
      <c r="B18" t="s">
        <v>77</v>
      </c>
      <c r="D18" s="52">
        <f>VLOOKUP($B18,'Calculations - Part 2'!$B$154:$H$203,MATCH(D$14,'Calculations - Part 2'!$B$153:$H$153,0),0)</f>
        <v>7638589.9337333106</v>
      </c>
      <c r="E18" s="52">
        <f>VLOOKUP($B18,'Calculations - Part 2'!$B$154:$H$203,MATCH(E$14,'Calculations - Part 2'!$B$153:$H$153,0),0)</f>
        <v>7615704.139814388</v>
      </c>
      <c r="F18" s="52">
        <f>VLOOKUP($B18,'Calculations - Part 2'!$B$154:$H$203,MATCH(F$14,'Calculations - Part 2'!$B$153:$H$153,0),0)</f>
        <v>-22885.793918922544</v>
      </c>
      <c r="G18" s="70">
        <f>VLOOKUP($B18,'Calculations - Part 2'!$B$154:$H$203,MATCH(G$14,'Calculations - Part 2'!$B$153:$H$153,0),0)</f>
        <v>-2.9960757309218655E-3</v>
      </c>
    </row>
    <row r="19" spans="2:7" x14ac:dyDescent="0.2">
      <c r="B19" t="s">
        <v>81</v>
      </c>
      <c r="D19" s="52">
        <f>VLOOKUP($B19,'Calculations - Part 2'!$B$154:$H$203,MATCH(D$14,'Calculations - Part 2'!$B$153:$H$153,0),0)</f>
        <v>9099704.4965393692</v>
      </c>
      <c r="E19" s="52">
        <f>VLOOKUP($B19,'Calculations - Part 2'!$B$154:$H$203,MATCH(E$14,'Calculations - Part 2'!$B$153:$H$153,0),0)</f>
        <v>9077770.6259886138</v>
      </c>
      <c r="F19" s="52">
        <f>VLOOKUP($B19,'Calculations - Part 2'!$B$154:$H$203,MATCH(F$14,'Calculations - Part 2'!$B$153:$H$153,0),0)</f>
        <v>-21933.870550755411</v>
      </c>
      <c r="G19" s="70">
        <f>VLOOKUP($B19,'Calculations - Part 2'!$B$154:$H$203,MATCH(G$14,'Calculations - Part 2'!$B$153:$H$153,0),0)</f>
        <v>-2.4103937176308543E-3</v>
      </c>
    </row>
    <row r="20" spans="2:7" x14ac:dyDescent="0.2">
      <c r="B20" t="s">
        <v>71</v>
      </c>
      <c r="D20" s="52">
        <f>VLOOKUP($B20,'Calculations - Part 2'!$B$154:$H$203,MATCH(D$14,'Calculations - Part 2'!$B$153:$H$153,0),0)</f>
        <v>571510.57614948624</v>
      </c>
      <c r="E20" s="52">
        <f>VLOOKUP($B20,'Calculations - Part 2'!$B$154:$H$203,MATCH(E$14,'Calculations - Part 2'!$B$153:$H$153,0),0)</f>
        <v>572025.3889858675</v>
      </c>
      <c r="F20" s="52">
        <f>VLOOKUP($B20,'Calculations - Part 2'!$B$154:$H$203,MATCH(F$14,'Calculations - Part 2'!$B$153:$H$153,0),0)</f>
        <v>514.81283638125751</v>
      </c>
      <c r="G20" s="70">
        <f>VLOOKUP($B20,'Calculations - Part 2'!$B$154:$H$203,MATCH(G$14,'Calculations - Part 2'!$B$153:$H$153,0),0)</f>
        <v>9.0079319240210509E-4</v>
      </c>
    </row>
    <row r="21" spans="2:7" x14ac:dyDescent="0.2">
      <c r="B21" t="s">
        <v>111</v>
      </c>
      <c r="D21" s="52">
        <f>VLOOKUP($B21,'Calculations - Part 2'!$B$154:$H$203,MATCH(D$14,'Calculations - Part 2'!$B$153:$H$153,0),0)</f>
        <v>743284.47085437842</v>
      </c>
      <c r="E21" s="52">
        <f>VLOOKUP($B21,'Calculations - Part 2'!$B$154:$H$203,MATCH(E$14,'Calculations - Part 2'!$B$153:$H$153,0),0)</f>
        <v>743954.01644574234</v>
      </c>
      <c r="F21" s="52">
        <f>VLOOKUP($B21,'Calculations - Part 2'!$B$154:$H$203,MATCH(F$14,'Calculations - Part 2'!$B$153:$H$153,0),0)</f>
        <v>669.54559136391617</v>
      </c>
      <c r="G21" s="70">
        <f>VLOOKUP($B21,'Calculations - Part 2'!$B$154:$H$203,MATCH(G$14,'Calculations - Part 2'!$B$153:$H$153,0),0)</f>
        <v>9.0079319240232714E-4</v>
      </c>
    </row>
    <row r="22" spans="2:7" x14ac:dyDescent="0.2">
      <c r="B22" t="s">
        <v>139</v>
      </c>
      <c r="D22" s="52">
        <f>VLOOKUP($B22,'Calculations - Part 2'!$B$154:$H$203,MATCH(D$14,'Calculations - Part 2'!$B$153:$H$153,0),0)</f>
        <v>831370.8343025936</v>
      </c>
      <c r="E22" s="52">
        <f>VLOOKUP($B22,'Calculations - Part 2'!$B$154:$H$203,MATCH(E$14,'Calculations - Part 2'!$B$153:$H$153,0),0)</f>
        <v>832594.32912530017</v>
      </c>
      <c r="F22" s="52">
        <f>VLOOKUP($B22,'Calculations - Part 2'!$B$154:$H$203,MATCH(F$14,'Calculations - Part 2'!$B$153:$H$153,0),0)</f>
        <v>1223.4948227065615</v>
      </c>
      <c r="G22" s="70">
        <f>VLOOKUP($B22,'Calculations - Part 2'!$B$154:$H$203,MATCH(G$14,'Calculations - Part 2'!$B$153:$H$153,0),0)</f>
        <v>1.4716595437618274E-3</v>
      </c>
    </row>
    <row r="23" spans="2:7" x14ac:dyDescent="0.2">
      <c r="B23" t="s">
        <v>159</v>
      </c>
      <c r="D23" s="52">
        <f>VLOOKUP($B23,'Calculations - Part 2'!$B$154:$H$203,MATCH(D$14,'Calculations - Part 2'!$B$153:$H$153,0),0)</f>
        <v>2808687.2168827592</v>
      </c>
      <c r="E23" s="52">
        <f>VLOOKUP($B23,'Calculations - Part 2'!$B$154:$H$203,MATCH(E$14,'Calculations - Part 2'!$B$153:$H$153,0),0)</f>
        <v>2811217.2632073141</v>
      </c>
      <c r="F23" s="52">
        <f>VLOOKUP($B23,'Calculations - Part 2'!$B$154:$H$203,MATCH(F$14,'Calculations - Part 2'!$B$153:$H$153,0),0)</f>
        <v>2530.0463245548308</v>
      </c>
      <c r="G23" s="70">
        <f>VLOOKUP($B23,'Calculations - Part 2'!$B$154:$H$203,MATCH(G$14,'Calculations - Part 2'!$B$153:$H$153,0),0)</f>
        <v>9.0079319240210509E-4</v>
      </c>
    </row>
    <row r="24" spans="2:7" x14ac:dyDescent="0.2">
      <c r="B24" t="s">
        <v>145</v>
      </c>
      <c r="D24" s="52">
        <f>VLOOKUP($B24,'Calculations - Part 2'!$B$154:$H$203,MATCH(D$14,'Calculations - Part 2'!$B$153:$H$153,0),0)</f>
        <v>4088164.3559495248</v>
      </c>
      <c r="E24" s="52">
        <f>VLOOKUP($B24,'Calculations - Part 2'!$B$154:$H$203,MATCH(E$14,'Calculations - Part 2'!$B$153:$H$153,0),0)</f>
        <v>4091846.9465707857</v>
      </c>
      <c r="F24" s="52">
        <f>VLOOKUP($B24,'Calculations - Part 2'!$B$154:$H$203,MATCH(F$14,'Calculations - Part 2'!$B$153:$H$153,0),0)</f>
        <v>3682.5906212609261</v>
      </c>
      <c r="G24" s="70">
        <f>VLOOKUP($B24,'Calculations - Part 2'!$B$154:$H$203,MATCH(G$14,'Calculations - Part 2'!$B$153:$H$153,0),0)</f>
        <v>9.0079319240232714E-4</v>
      </c>
    </row>
    <row r="25" spans="2:7" x14ac:dyDescent="0.2">
      <c r="B25" t="s">
        <v>73</v>
      </c>
      <c r="D25" s="52">
        <f>VLOOKUP($B25,'Calculations - Part 2'!$B$154:$H$203,MATCH(D$14,'Calculations - Part 2'!$B$153:$H$153,0),0)</f>
        <v>1147574.8666338813</v>
      </c>
      <c r="E25" s="52">
        <f>VLOOKUP($B25,'Calculations - Part 2'!$B$154:$H$203,MATCH(E$14,'Calculations - Part 2'!$B$153:$H$153,0),0)</f>
        <v>1153797.89308408</v>
      </c>
      <c r="F25" s="52">
        <f>VLOOKUP($B25,'Calculations - Part 2'!$B$154:$H$203,MATCH(F$14,'Calculations - Part 2'!$B$153:$H$153,0),0)</f>
        <v>6223.0264501986094</v>
      </c>
      <c r="G25" s="70">
        <f>VLOOKUP($B25,'Calculations - Part 2'!$B$154:$H$203,MATCH(G$14,'Calculations - Part 2'!$B$153:$H$153,0),0)</f>
        <v>5.4227629335001915E-3</v>
      </c>
    </row>
    <row r="26" spans="2:7" x14ac:dyDescent="0.2">
      <c r="B26" t="s">
        <v>85</v>
      </c>
      <c r="D26" s="52">
        <f>VLOOKUP($B26,'Calculations - Part 2'!$B$154:$H$203,MATCH(D$14,'Calculations - Part 2'!$B$153:$H$153,0),0)</f>
        <v>3350834.4364576442</v>
      </c>
      <c r="E26" s="52">
        <f>VLOOKUP($B26,'Calculations - Part 2'!$B$154:$H$203,MATCH(E$14,'Calculations - Part 2'!$B$153:$H$153,0),0)</f>
        <v>3355596.6038027601</v>
      </c>
      <c r="F26" s="52">
        <f>VLOOKUP($B26,'Calculations - Part 2'!$B$154:$H$203,MATCH(F$14,'Calculations - Part 2'!$B$153:$H$153,0),0)</f>
        <v>4762.1673451159149</v>
      </c>
      <c r="G26" s="70">
        <f>VLOOKUP($B26,'Calculations - Part 2'!$B$154:$H$203,MATCH(G$14,'Calculations - Part 2'!$B$153:$H$153,0),0)</f>
        <v>1.4211884936190522E-3</v>
      </c>
    </row>
    <row r="27" spans="2:7" x14ac:dyDescent="0.2">
      <c r="B27" t="s">
        <v>147</v>
      </c>
      <c r="D27" s="52">
        <f>VLOOKUP($B27,'Calculations - Part 2'!$B$154:$H$203,MATCH(D$14,'Calculations - Part 2'!$B$153:$H$153,0),0)</f>
        <v>3845140.5807178346</v>
      </c>
      <c r="E27" s="52">
        <f>VLOOKUP($B27,'Calculations - Part 2'!$B$154:$H$203,MATCH(E$14,'Calculations - Part 2'!$B$153:$H$153,0),0)</f>
        <v>3850061.7111155475</v>
      </c>
      <c r="F27" s="52">
        <f>VLOOKUP($B27,'Calculations - Part 2'!$B$154:$H$203,MATCH(F$14,'Calculations - Part 2'!$B$153:$H$153,0),0)</f>
        <v>4921.1303977128118</v>
      </c>
      <c r="G27" s="70">
        <f>VLOOKUP($B27,'Calculations - Part 2'!$B$154:$H$203,MATCH(G$14,'Calculations - Part 2'!$B$153:$H$153,0),0)</f>
        <v>1.2798310736390484E-3</v>
      </c>
    </row>
    <row r="28" spans="2:7" x14ac:dyDescent="0.2">
      <c r="B28" t="s">
        <v>93</v>
      </c>
      <c r="D28" s="52">
        <f>VLOOKUP($B28,'Calculations - Part 2'!$B$154:$H$203,MATCH(D$14,'Calculations - Part 2'!$B$153:$H$153,0),0)</f>
        <v>7488247.5553527316</v>
      </c>
      <c r="E28" s="52">
        <f>VLOOKUP($B28,'Calculations - Part 2'!$B$154:$H$203,MATCH(E$14,'Calculations - Part 2'!$B$153:$H$153,0),0)</f>
        <v>7490401.3635343444</v>
      </c>
      <c r="F28" s="52">
        <f>VLOOKUP($B28,'Calculations - Part 2'!$B$154:$H$203,MATCH(F$14,'Calculations - Part 2'!$B$153:$H$153,0),0)</f>
        <v>2153.8081816127524</v>
      </c>
      <c r="G28" s="70">
        <f>VLOOKUP($B28,'Calculations - Part 2'!$B$154:$H$203,MATCH(G$14,'Calculations - Part 2'!$B$153:$H$153,0),0)</f>
        <v>2.8762513067204232E-4</v>
      </c>
    </row>
    <row r="29" spans="2:7" x14ac:dyDescent="0.2">
      <c r="B29" t="s">
        <v>89</v>
      </c>
      <c r="D29" s="52">
        <f>VLOOKUP($B29,'Calculations - Part 2'!$B$154:$H$203,MATCH(D$14,'Calculations - Part 2'!$B$153:$H$153,0),0)</f>
        <v>4876859.1352657918</v>
      </c>
      <c r="E29" s="52">
        <f>VLOOKUP($B29,'Calculations - Part 2'!$B$154:$H$203,MATCH(E$14,'Calculations - Part 2'!$B$153:$H$153,0),0)</f>
        <v>4881252.1767751435</v>
      </c>
      <c r="F29" s="52">
        <f>VLOOKUP($B29,'Calculations - Part 2'!$B$154:$H$203,MATCH(F$14,'Calculations - Part 2'!$B$153:$H$153,0),0)</f>
        <v>4393.0415093516931</v>
      </c>
      <c r="G29" s="70">
        <f>VLOOKUP($B29,'Calculations - Part 2'!$B$154:$H$203,MATCH(G$14,'Calculations - Part 2'!$B$153:$H$153,0),0)</f>
        <v>9.0079319240210509E-4</v>
      </c>
    </row>
    <row r="30" spans="2:7" x14ac:dyDescent="0.2">
      <c r="B30" t="s">
        <v>149</v>
      </c>
      <c r="D30" s="52">
        <f>VLOOKUP($B30,'Calculations - Part 2'!$B$154:$H$203,MATCH(D$14,'Calculations - Part 2'!$B$153:$H$153,0),0)</f>
        <v>20298980.718316268</v>
      </c>
      <c r="E30" s="52">
        <f>VLOOKUP($B30,'Calculations - Part 2'!$B$154:$H$203,MATCH(E$14,'Calculations - Part 2'!$B$153:$H$153,0),0)</f>
        <v>20290958.26905736</v>
      </c>
      <c r="F30" s="52">
        <f>VLOOKUP($B30,'Calculations - Part 2'!$B$154:$H$203,MATCH(F$14,'Calculations - Part 2'!$B$153:$H$153,0),0)</f>
        <v>-8022.4492589086294</v>
      </c>
      <c r="G30" s="70">
        <f>VLOOKUP($B30,'Calculations - Part 2'!$B$154:$H$203,MATCH(G$14,'Calculations - Part 2'!$B$153:$H$153,0),0)</f>
        <v>-3.9521438885203874E-4</v>
      </c>
    </row>
    <row r="31" spans="2:7" x14ac:dyDescent="0.2">
      <c r="B31" t="s">
        <v>123</v>
      </c>
      <c r="D31" s="52">
        <f>VLOOKUP($B31,'Calculations - Part 2'!$B$154:$H$203,MATCH(D$14,'Calculations - Part 2'!$B$153:$H$153,0),0)</f>
        <v>9551233.8251603264</v>
      </c>
      <c r="E31" s="52">
        <f>VLOOKUP($B31,'Calculations - Part 2'!$B$154:$H$203,MATCH(E$14,'Calculations - Part 2'!$B$153:$H$153,0),0)</f>
        <v>9559837.5115690716</v>
      </c>
      <c r="F31" s="52">
        <f>VLOOKUP($B31,'Calculations - Part 2'!$B$154:$H$203,MATCH(F$14,'Calculations - Part 2'!$B$153:$H$153,0),0)</f>
        <v>8603.6864087451249</v>
      </c>
      <c r="G31" s="70">
        <f>VLOOKUP($B31,'Calculations - Part 2'!$B$154:$H$203,MATCH(G$14,'Calculations - Part 2'!$B$153:$H$153,0),0)</f>
        <v>9.0079319240210509E-4</v>
      </c>
    </row>
    <row r="32" spans="2:7" x14ac:dyDescent="0.2">
      <c r="B32" t="s">
        <v>97</v>
      </c>
      <c r="D32" s="52">
        <f>VLOOKUP($B32,'Calculations - Part 2'!$B$154:$H$203,MATCH(D$14,'Calculations - Part 2'!$B$153:$H$153,0),0)</f>
        <v>4125590.1072559413</v>
      </c>
      <c r="E32" s="52">
        <f>VLOOKUP($B32,'Calculations - Part 2'!$B$154:$H$203,MATCH(E$14,'Calculations - Part 2'!$B$153:$H$153,0),0)</f>
        <v>4140894.6169839222</v>
      </c>
      <c r="F32" s="52">
        <f>VLOOKUP($B32,'Calculations - Part 2'!$B$154:$H$203,MATCH(F$14,'Calculations - Part 2'!$B$153:$H$153,0),0)</f>
        <v>15304.509727980942</v>
      </c>
      <c r="G32" s="70">
        <f>VLOOKUP($B32,'Calculations - Part 2'!$B$154:$H$203,MATCH(G$14,'Calculations - Part 2'!$B$153:$H$153,0),0)</f>
        <v>3.7096534871614573E-3</v>
      </c>
    </row>
    <row r="33" spans="2:7" x14ac:dyDescent="0.2">
      <c r="B33" t="s">
        <v>66</v>
      </c>
      <c r="D33" s="52">
        <f>VLOOKUP($B33,'Calculations - Part 2'!$B$154:$H$203,MATCH(D$14,'Calculations - Part 2'!$B$153:$H$153,0),0)</f>
        <v>17286577.853552938</v>
      </c>
      <c r="E33" s="52">
        <f>VLOOKUP($B33,'Calculations - Part 2'!$B$154:$H$203,MATCH(E$14,'Calculations - Part 2'!$B$153:$H$153,0),0)</f>
        <v>17292187.154571645</v>
      </c>
      <c r="F33" s="52">
        <f>VLOOKUP($B33,'Calculations - Part 2'!$B$154:$H$203,MATCH(F$14,'Calculations - Part 2'!$B$153:$H$153,0),0)</f>
        <v>5609.3010187074542</v>
      </c>
      <c r="G33" s="70">
        <f>VLOOKUP($B33,'Calculations - Part 2'!$B$154:$H$203,MATCH(G$14,'Calculations - Part 2'!$B$153:$H$153,0),0)</f>
        <v>3.2448880664692759E-4</v>
      </c>
    </row>
    <row r="34" spans="2:7" x14ac:dyDescent="0.2">
      <c r="B34" t="s">
        <v>113</v>
      </c>
      <c r="D34" s="52">
        <f>VLOOKUP($B34,'Calculations - Part 2'!$B$154:$H$203,MATCH(D$14,'Calculations - Part 2'!$B$153:$H$153,0),0)</f>
        <v>8172527.4378182217</v>
      </c>
      <c r="E34" s="52">
        <f>VLOOKUP($B34,'Calculations - Part 2'!$B$154:$H$203,MATCH(E$14,'Calculations - Part 2'!$B$153:$H$153,0),0)</f>
        <v>8186044.8194366125</v>
      </c>
      <c r="F34" s="52">
        <f>VLOOKUP($B34,'Calculations - Part 2'!$B$154:$H$203,MATCH(F$14,'Calculations - Part 2'!$B$153:$H$153,0),0)</f>
        <v>13517.381618390791</v>
      </c>
      <c r="G34" s="70">
        <f>VLOOKUP($B34,'Calculations - Part 2'!$B$154:$H$203,MATCH(G$14,'Calculations - Part 2'!$B$153:$H$153,0),0)</f>
        <v>1.6540025984910223E-3</v>
      </c>
    </row>
    <row r="35" spans="2:7" x14ac:dyDescent="0.2">
      <c r="B35" t="s">
        <v>63</v>
      </c>
      <c r="D35" s="52">
        <f>VLOOKUP($B35,'Calculations - Part 2'!$B$154:$H$203,MATCH(D$14,'Calculations - Part 2'!$B$153:$H$153,0),0)</f>
        <v>8824094.7794999555</v>
      </c>
      <c r="E35" s="52">
        <f>VLOOKUP($B35,'Calculations - Part 2'!$B$154:$H$203,MATCH(E$14,'Calculations - Part 2'!$B$153:$H$153,0),0)</f>
        <v>8839670.8543746732</v>
      </c>
      <c r="F35" s="52">
        <f>VLOOKUP($B35,'Calculations - Part 2'!$B$154:$H$203,MATCH(F$14,'Calculations - Part 2'!$B$153:$H$153,0),0)</f>
        <v>15576.074874717742</v>
      </c>
      <c r="G35" s="70">
        <f>VLOOKUP($B35,'Calculations - Part 2'!$B$154:$H$203,MATCH(G$14,'Calculations - Part 2'!$B$153:$H$153,0),0)</f>
        <v>1.7651753821710248E-3</v>
      </c>
    </row>
    <row r="36" spans="2:7" x14ac:dyDescent="0.2">
      <c r="B36" t="s">
        <v>153</v>
      </c>
      <c r="D36" s="52">
        <f>VLOOKUP($B36,'Calculations - Part 2'!$B$154:$H$203,MATCH(D$14,'Calculations - Part 2'!$B$153:$H$153,0),0)</f>
        <v>4329056.8674657736</v>
      </c>
      <c r="E36" s="52">
        <f>VLOOKUP($B36,'Calculations - Part 2'!$B$154:$H$203,MATCH(E$14,'Calculations - Part 2'!$B$153:$H$153,0),0)</f>
        <v>4350447.1198280063</v>
      </c>
      <c r="F36" s="52">
        <f>VLOOKUP($B36,'Calculations - Part 2'!$B$154:$H$203,MATCH(F$14,'Calculations - Part 2'!$B$153:$H$153,0),0)</f>
        <v>21390.252362232655</v>
      </c>
      <c r="G36" s="70">
        <f>VLOOKUP($B36,'Calculations - Part 2'!$B$154:$H$203,MATCH(G$14,'Calculations - Part 2'!$B$153:$H$153,0),0)</f>
        <v>4.9410883287275276E-3</v>
      </c>
    </row>
    <row r="37" spans="2:7" x14ac:dyDescent="0.2">
      <c r="B37" t="s">
        <v>155</v>
      </c>
      <c r="D37" s="52">
        <f>VLOOKUP($B37,'Calculations - Part 2'!$B$154:$H$203,MATCH(D$14,'Calculations - Part 2'!$B$153:$H$153,0),0)</f>
        <v>15645182.955181837</v>
      </c>
      <c r="E37" s="52">
        <f>VLOOKUP($B37,'Calculations - Part 2'!$B$154:$H$203,MATCH(E$14,'Calculations - Part 2'!$B$153:$H$153,0),0)</f>
        <v>15659276.029481752</v>
      </c>
      <c r="F37" s="52">
        <f>VLOOKUP($B37,'Calculations - Part 2'!$B$154:$H$203,MATCH(F$14,'Calculations - Part 2'!$B$153:$H$153,0),0)</f>
        <v>14093.074299914762</v>
      </c>
      <c r="G37" s="70">
        <f>VLOOKUP($B37,'Calculations - Part 2'!$B$154:$H$203,MATCH(G$14,'Calculations - Part 2'!$B$153:$H$153,0),0)</f>
        <v>9.0079319240210509E-4</v>
      </c>
    </row>
    <row r="38" spans="2:7" x14ac:dyDescent="0.2">
      <c r="B38" t="s">
        <v>157</v>
      </c>
      <c r="D38" s="52">
        <f>VLOOKUP($B38,'Calculations - Part 2'!$B$154:$H$203,MATCH(D$14,'Calculations - Part 2'!$B$153:$H$153,0),0)</f>
        <v>30467549.894648802</v>
      </c>
      <c r="E38" s="52">
        <f>VLOOKUP($B38,'Calculations - Part 2'!$B$154:$H$203,MATCH(E$14,'Calculations - Part 2'!$B$153:$H$153,0),0)</f>
        <v>30494994.856183078</v>
      </c>
      <c r="F38" s="52">
        <f>VLOOKUP($B38,'Calculations - Part 2'!$B$154:$H$203,MATCH(F$14,'Calculations - Part 2'!$B$153:$H$153,0),0)</f>
        <v>27444.961534276605</v>
      </c>
      <c r="G38" s="70">
        <f>VLOOKUP($B38,'Calculations - Part 2'!$B$154:$H$203,MATCH(G$14,'Calculations - Part 2'!$B$153:$H$153,0),0)</f>
        <v>9.0079319240232714E-4</v>
      </c>
    </row>
    <row r="39" spans="2:7" x14ac:dyDescent="0.2">
      <c r="B39" t="s">
        <v>137</v>
      </c>
      <c r="D39" s="52">
        <f>VLOOKUP($B39,'Calculations - Part 2'!$B$154:$H$203,MATCH(D$14,'Calculations - Part 2'!$B$153:$H$153,0),0)</f>
        <v>15910792.276473779</v>
      </c>
      <c r="E39" s="52">
        <f>VLOOKUP($B39,'Calculations - Part 2'!$B$154:$H$203,MATCH(E$14,'Calculations - Part 2'!$B$153:$H$153,0),0)</f>
        <v>15964725.392480996</v>
      </c>
      <c r="F39" s="52">
        <f>VLOOKUP($B39,'Calculations - Part 2'!$B$154:$H$203,MATCH(F$14,'Calculations - Part 2'!$B$153:$H$153,0),0)</f>
        <v>53933.116007216275</v>
      </c>
      <c r="G39" s="70">
        <f>VLOOKUP($B39,'Calculations - Part 2'!$B$154:$H$203,MATCH(G$14,'Calculations - Part 2'!$B$153:$H$153,0),0)</f>
        <v>3.3897190705558522E-3</v>
      </c>
    </row>
    <row r="40" spans="2:7" x14ac:dyDescent="0.2">
      <c r="B40" t="s">
        <v>135</v>
      </c>
      <c r="D40" s="52">
        <f>VLOOKUP($B40,'Calculations - Part 2'!$B$154:$H$203,MATCH(D$14,'Calculations - Part 2'!$B$153:$H$153,0),0)</f>
        <v>57791387.176519327</v>
      </c>
      <c r="E40" s="52">
        <f>VLOOKUP($B40,'Calculations - Part 2'!$B$154:$H$203,MATCH(E$14,'Calculations - Part 2'!$B$153:$H$153,0),0)</f>
        <v>57840880.295805991</v>
      </c>
      <c r="F40" s="52">
        <f>VLOOKUP($B40,'Calculations - Part 2'!$B$154:$H$203,MATCH(F$14,'Calculations - Part 2'!$B$153:$H$153,0),0)</f>
        <v>49493.11928666383</v>
      </c>
      <c r="G40" s="70">
        <f>VLOOKUP($B40,'Calculations - Part 2'!$B$154:$H$203,MATCH(G$14,'Calculations - Part 2'!$B$153:$H$153,0),0)</f>
        <v>8.5640995492108907E-4</v>
      </c>
    </row>
    <row r="41" spans="2:7" x14ac:dyDescent="0.2">
      <c r="B41" t="s">
        <v>151</v>
      </c>
      <c r="D41" s="52">
        <f>VLOOKUP($B41,'Calculations - Part 2'!$B$154:$H$203,MATCH(D$14,'Calculations - Part 2'!$B$153:$H$153,0),0)</f>
        <v>108302388.34667163</v>
      </c>
      <c r="E41" s="52">
        <f>VLOOKUP($B41,'Calculations - Part 2'!$B$154:$H$203,MATCH(E$14,'Calculations - Part 2'!$B$153:$H$153,0),0)</f>
        <v>108399946.4008152</v>
      </c>
      <c r="F41" s="52">
        <f>VLOOKUP($B41,'Calculations - Part 2'!$B$154:$H$203,MATCH(F$14,'Calculations - Part 2'!$B$153:$H$153,0),0)</f>
        <v>97558.054143577814</v>
      </c>
      <c r="G41" s="70">
        <f>VLOOKUP($B41,'Calculations - Part 2'!$B$154:$H$203,MATCH(G$14,'Calculations - Part 2'!$B$153:$H$153,0),0)</f>
        <v>9.0079319240210509E-4</v>
      </c>
    </row>
    <row r="42" spans="2:7" ht="15" x14ac:dyDescent="0.25">
      <c r="D42" s="53">
        <f>SUM(D15:D41)</f>
        <v>399374198.74231726</v>
      </c>
      <c r="E42" s="53">
        <f>SUM(E15:E41)</f>
        <v>399534771.22103733</v>
      </c>
      <c r="F42" s="53">
        <f>SUM(F15:F41)</f>
        <v>160572.47872008046</v>
      </c>
      <c r="G42" s="75">
        <f>F42/D42</f>
        <v>4.0206022128055506E-4</v>
      </c>
    </row>
    <row r="44" spans="2:7" ht="14.25" customHeight="1" x14ac:dyDescent="0.2"/>
    <row r="45" spans="2:7" ht="30" x14ac:dyDescent="0.2">
      <c r="B45" s="106" t="s">
        <v>41</v>
      </c>
      <c r="C45" s="58"/>
      <c r="D45" s="71" t="s">
        <v>591</v>
      </c>
      <c r="E45" s="71" t="s">
        <v>592</v>
      </c>
      <c r="F45" s="71" t="s">
        <v>589</v>
      </c>
      <c r="G45" s="71" t="s">
        <v>593</v>
      </c>
    </row>
    <row r="46" spans="2:7" x14ac:dyDescent="0.2">
      <c r="B46" t="s">
        <v>103</v>
      </c>
      <c r="D46" s="125" t="s">
        <v>594</v>
      </c>
      <c r="E46" s="125"/>
      <c r="F46" s="125"/>
      <c r="G46" s="125"/>
    </row>
    <row r="47" spans="2:7" x14ac:dyDescent="0.2">
      <c r="B47" t="s">
        <v>165</v>
      </c>
      <c r="D47" s="125" t="s">
        <v>594</v>
      </c>
      <c r="E47" s="125"/>
      <c r="F47" s="125"/>
      <c r="G47" s="125"/>
    </row>
    <row r="48" spans="2:7" x14ac:dyDescent="0.2">
      <c r="B48" t="s">
        <v>169</v>
      </c>
      <c r="D48" s="125" t="s">
        <v>594</v>
      </c>
      <c r="E48" s="125"/>
      <c r="F48" s="125"/>
      <c r="G48" s="125"/>
    </row>
    <row r="49" spans="2:7" x14ac:dyDescent="0.2">
      <c r="B49" t="s">
        <v>171</v>
      </c>
      <c r="D49" s="125" t="s">
        <v>594</v>
      </c>
      <c r="E49" s="125"/>
      <c r="F49" s="125"/>
      <c r="G49" s="125"/>
    </row>
    <row r="50" spans="2:7" x14ac:dyDescent="0.2">
      <c r="B50" t="s">
        <v>173</v>
      </c>
      <c r="D50" s="125" t="s">
        <v>594</v>
      </c>
      <c r="E50" s="125"/>
      <c r="F50" s="125"/>
      <c r="G50" s="125"/>
    </row>
    <row r="51" spans="2:7" x14ac:dyDescent="0.2">
      <c r="B51" t="s">
        <v>103</v>
      </c>
      <c r="D51" s="52">
        <f>VLOOKUP($B51,'Calculations - Part 2'!$B$154:$H$203,MATCH(D$45,'Calculations - Part 2'!$B$153:$H$153,0),0)</f>
        <v>2165232.2675553169</v>
      </c>
      <c r="E51" s="52">
        <f>VLOOKUP($B51,'Calculations - Part 2'!$B$154:$H$203,MATCH(E$45,'Calculations - Part 2'!$B$153:$H$153,0),0)</f>
        <v>1963105.7749931526</v>
      </c>
      <c r="F51" s="52">
        <f>VLOOKUP($B51,'Calculations - Part 2'!$B$154:$H$203,MATCH(F$14,'Calculations - Part 2'!$B$153:$H$153,0),0)</f>
        <v>-202126.49256216432</v>
      </c>
      <c r="G51" s="70">
        <f>VLOOKUP($B51,'Calculations - Part 2'!$B$154:$H$203,MATCH(G$14,'Calculations - Part 2'!$B$153:$H$153,0),0)</f>
        <v>-9.3350951577300223E-2</v>
      </c>
    </row>
    <row r="52" spans="2:7" x14ac:dyDescent="0.2">
      <c r="B52" t="s">
        <v>87</v>
      </c>
      <c r="D52" s="52">
        <f>VLOOKUP($B52,'Calculations - Part 2'!$B$154:$H$203,MATCH(D$45,'Calculations - Part 2'!$B$153:$H$153,0),0)</f>
        <v>705390.65206166229</v>
      </c>
      <c r="E52" s="52">
        <f>VLOOKUP($B52,'Calculations - Part 2'!$B$154:$H$203,MATCH(E$45,'Calculations - Part 2'!$B$153:$H$153,0),0)</f>
        <v>673148.47820198163</v>
      </c>
      <c r="F52" s="52">
        <f>VLOOKUP($B52,'Calculations - Part 2'!$B$154:$H$203,MATCH(F$14,'Calculations - Part 2'!$B$153:$H$153,0),0)</f>
        <v>-32242.173859680654</v>
      </c>
      <c r="G52" s="70">
        <f>VLOOKUP($B52,'Calculations - Part 2'!$B$154:$H$203,MATCH(G$14,'Calculations - Part 2'!$B$153:$H$153,0),0)</f>
        <v>-4.5708252250643899E-2</v>
      </c>
    </row>
    <row r="53" spans="2:7" x14ac:dyDescent="0.2">
      <c r="B53" t="s">
        <v>119</v>
      </c>
      <c r="D53" s="52">
        <f>VLOOKUP($B53,'Calculations - Part 2'!$B$154:$H$203,MATCH(D$45,'Calculations - Part 2'!$B$153:$H$153,0),0)</f>
        <v>300121.56275342853</v>
      </c>
      <c r="E53" s="52">
        <f>VLOOKUP($B53,'Calculations - Part 2'!$B$154:$H$203,MATCH(E$45,'Calculations - Part 2'!$B$153:$H$153,0),0)</f>
        <v>288207.42349013174</v>
      </c>
      <c r="F53" s="52">
        <f>VLOOKUP($B53,'Calculations - Part 2'!$B$154:$H$203,MATCH(F$14,'Calculations - Part 2'!$B$153:$H$153,0),0)</f>
        <v>-11914.139263296791</v>
      </c>
      <c r="G53" s="70">
        <f>VLOOKUP($B53,'Calculations - Part 2'!$B$154:$H$203,MATCH(G$14,'Calculations - Part 2'!$B$153:$H$153,0),0)</f>
        <v>-3.9697711667205704E-2</v>
      </c>
    </row>
    <row r="54" spans="2:7" x14ac:dyDescent="0.2">
      <c r="B54" t="s">
        <v>99</v>
      </c>
      <c r="D54" s="52">
        <f>VLOOKUP($B54,'Calculations - Part 2'!$B$154:$H$203,MATCH(D$45,'Calculations - Part 2'!$B$153:$H$153,0),0)</f>
        <v>0</v>
      </c>
      <c r="E54" s="52">
        <f>VLOOKUP($B54,'Calculations - Part 2'!$B$154:$H$203,MATCH(E$45,'Calculations - Part 2'!$B$153:$H$153,0),0)</f>
        <v>0</v>
      </c>
      <c r="F54" s="52">
        <f>VLOOKUP($B54,'Calculations - Part 2'!$B$154:$H$203,MATCH(F$14,'Calculations - Part 2'!$B$153:$H$153,0),0)</f>
        <v>0</v>
      </c>
      <c r="G54" s="70" t="str">
        <f>VLOOKUP($B54,'Calculations - Part 2'!$B$154:$H$203,MATCH(G$14,'Calculations - Part 2'!$B$153:$H$153,0),0)</f>
        <v/>
      </c>
    </row>
    <row r="55" spans="2:7" x14ac:dyDescent="0.2">
      <c r="B55" t="s">
        <v>143</v>
      </c>
      <c r="D55" s="52">
        <f>VLOOKUP($B55,'Calculations - Part 2'!$B$154:$H$203,MATCH(D$45,'Calculations - Part 2'!$B$153:$H$153,0),0)</f>
        <v>0</v>
      </c>
      <c r="E55" s="52">
        <f>VLOOKUP($B55,'Calculations - Part 2'!$B$154:$H$203,MATCH(E$45,'Calculations - Part 2'!$B$153:$H$153,0),0)</f>
        <v>0</v>
      </c>
      <c r="F55" s="52">
        <f>VLOOKUP($B55,'Calculations - Part 2'!$B$154:$H$203,MATCH(F$14,'Calculations - Part 2'!$B$153:$H$153,0),0)</f>
        <v>0</v>
      </c>
      <c r="G55" s="70" t="str">
        <f>VLOOKUP($B55,'Calculations - Part 2'!$B$154:$H$203,MATCH(G$14,'Calculations - Part 2'!$B$153:$H$153,0),0)</f>
        <v/>
      </c>
    </row>
    <row r="56" spans="2:7" x14ac:dyDescent="0.2">
      <c r="B56" t="s">
        <v>101</v>
      </c>
      <c r="D56" s="52">
        <f>VLOOKUP($B56,'Calculations - Part 2'!$B$154:$H$203,MATCH(D$45,'Calculations - Part 2'!$B$153:$H$153,0),0)</f>
        <v>0</v>
      </c>
      <c r="E56" s="52">
        <f>VLOOKUP($B56,'Calculations - Part 2'!$B$154:$H$203,MATCH(E$45,'Calculations - Part 2'!$B$153:$H$153,0),0)</f>
        <v>0</v>
      </c>
      <c r="F56" s="52">
        <f>VLOOKUP($B56,'Calculations - Part 2'!$B$154:$H$203,MATCH(F$14,'Calculations - Part 2'!$B$153:$H$153,0),0)</f>
        <v>0</v>
      </c>
      <c r="G56" s="70" t="str">
        <f>VLOOKUP($B56,'Calculations - Part 2'!$B$154:$H$203,MATCH(G$14,'Calculations - Part 2'!$B$153:$H$153,0),0)</f>
        <v/>
      </c>
    </row>
    <row r="57" spans="2:7" x14ac:dyDescent="0.2">
      <c r="B57" t="s">
        <v>121</v>
      </c>
      <c r="D57" s="52">
        <f>VLOOKUP($B57,'Calculations - Part 2'!$B$154:$H$203,MATCH(D$45,'Calculations - Part 2'!$B$153:$H$153,0),0)</f>
        <v>0</v>
      </c>
      <c r="E57" s="52">
        <f>VLOOKUP($B57,'Calculations - Part 2'!$B$154:$H$203,MATCH(E$45,'Calculations - Part 2'!$B$153:$H$153,0),0)</f>
        <v>0</v>
      </c>
      <c r="F57" s="52">
        <f>VLOOKUP($B57,'Calculations - Part 2'!$B$154:$H$203,MATCH(F$14,'Calculations - Part 2'!$B$153:$H$153,0),0)</f>
        <v>0</v>
      </c>
      <c r="G57" s="70" t="str">
        <f>VLOOKUP($B57,'Calculations - Part 2'!$B$154:$H$203,MATCH(G$14,'Calculations - Part 2'!$B$153:$H$153,0),0)</f>
        <v/>
      </c>
    </row>
    <row r="58" spans="2:7" x14ac:dyDescent="0.2">
      <c r="B58" t="s">
        <v>95</v>
      </c>
      <c r="D58" s="52">
        <f>VLOOKUP($B58,'Calculations - Part 2'!$B$154:$H$203,MATCH(D$45,'Calculations - Part 2'!$B$153:$H$153,0),0)</f>
        <v>32491.316033687621</v>
      </c>
      <c r="E58" s="52">
        <f>VLOOKUP($B58,'Calculations - Part 2'!$B$154:$H$203,MATCH(E$45,'Calculations - Part 2'!$B$153:$H$153,0),0)</f>
        <v>32520.583989982955</v>
      </c>
      <c r="F58" s="52">
        <f>VLOOKUP($B58,'Calculations - Part 2'!$B$154:$H$203,MATCH(F$14,'Calculations - Part 2'!$B$153:$H$153,0),0)</f>
        <v>29.267956295334443</v>
      </c>
      <c r="G58" s="70">
        <f>VLOOKUP($B58,'Calculations - Part 2'!$B$154:$H$203,MATCH(G$14,'Calculations - Part 2'!$B$153:$H$153,0),0)</f>
        <v>9.0079319240210509E-4</v>
      </c>
    </row>
    <row r="59" spans="2:7" x14ac:dyDescent="0.2">
      <c r="B59" t="s">
        <v>125</v>
      </c>
      <c r="D59" s="52">
        <f>VLOOKUP($B59,'Calculations - Part 2'!$B$154:$H$203,MATCH(D$45,'Calculations - Part 2'!$B$153:$H$153,0),0)</f>
        <v>334437.96029961418</v>
      </c>
      <c r="E59" s="52">
        <f>VLOOKUP($B59,'Calculations - Part 2'!$B$154:$H$203,MATCH(E$45,'Calculations - Part 2'!$B$153:$H$153,0),0)</f>
        <v>334739.21973753296</v>
      </c>
      <c r="F59" s="52">
        <f>VLOOKUP($B59,'Calculations - Part 2'!$B$154:$H$203,MATCH(F$14,'Calculations - Part 2'!$B$153:$H$153,0),0)</f>
        <v>301.25943791877944</v>
      </c>
      <c r="G59" s="70">
        <f>VLOOKUP($B59,'Calculations - Part 2'!$B$154:$H$203,MATCH(G$14,'Calculations - Part 2'!$B$153:$H$153,0),0)</f>
        <v>9.0079319240232714E-4</v>
      </c>
    </row>
    <row r="60" spans="2:7" x14ac:dyDescent="0.2">
      <c r="B60" t="s">
        <v>75</v>
      </c>
      <c r="D60" s="52">
        <f>VLOOKUP($B60,'Calculations - Part 2'!$B$154:$H$203,MATCH(D$45,'Calculations - Part 2'!$B$153:$H$153,0),0)</f>
        <v>1250423.884764435</v>
      </c>
      <c r="E60" s="52">
        <f>VLOOKUP($B60,'Calculations - Part 2'!$B$154:$H$203,MATCH(E$45,'Calculations - Part 2'!$B$153:$H$153,0),0)</f>
        <v>1251550.2580874478</v>
      </c>
      <c r="F60" s="52">
        <f>VLOOKUP($B60,'Calculations - Part 2'!$B$154:$H$203,MATCH(F$14,'Calculations - Part 2'!$B$153:$H$153,0),0)</f>
        <v>1126.3733230128419</v>
      </c>
      <c r="G60" s="70">
        <f>VLOOKUP($B60,'Calculations - Part 2'!$B$154:$H$203,MATCH(G$14,'Calculations - Part 2'!$B$153:$H$153,0),0)</f>
        <v>9.0079319240210509E-4</v>
      </c>
    </row>
    <row r="61" spans="2:7" x14ac:dyDescent="0.2">
      <c r="B61" t="s">
        <v>107</v>
      </c>
      <c r="D61" s="52">
        <f>VLOOKUP($B61,'Calculations - Part 2'!$B$154:$H$203,MATCH(D$45,'Calculations - Part 2'!$B$153:$H$153,0),0)</f>
        <v>1277189.1277207076</v>
      </c>
      <c r="E61" s="52">
        <f>VLOOKUP($B61,'Calculations - Part 2'!$B$154:$H$203,MATCH(E$45,'Calculations - Part 2'!$B$153:$H$153,0),0)</f>
        <v>1278339.6109923685</v>
      </c>
      <c r="F61" s="52">
        <f>VLOOKUP($B61,'Calculations - Part 2'!$B$154:$H$203,MATCH(F$14,'Calculations - Part 2'!$B$153:$H$153,0),0)</f>
        <v>1150.4832716609817</v>
      </c>
      <c r="G61" s="70">
        <f>VLOOKUP($B61,'Calculations - Part 2'!$B$154:$H$203,MATCH(G$14,'Calculations - Part 2'!$B$153:$H$153,0),0)</f>
        <v>9.0079319240232714E-4</v>
      </c>
    </row>
    <row r="62" spans="2:7" x14ac:dyDescent="0.2">
      <c r="B62" t="s">
        <v>105</v>
      </c>
      <c r="D62" s="52" t="str">
        <f>VLOOKUP($B62,'Calculations - Part 2'!$B$154:$H$203,MATCH(D$45,'Calculations - Part 2'!$B$153:$H$153,0),0)</f>
        <v/>
      </c>
      <c r="E62" s="52">
        <f>VLOOKUP($B62,'Calculations - Part 2'!$B$154:$H$203,MATCH(E$45,'Calculations - Part 2'!$B$153:$H$153,0),0)</f>
        <v>0</v>
      </c>
      <c r="F62" s="52" t="str">
        <f>VLOOKUP($B62,'Calculations - Part 2'!$B$154:$H$203,MATCH(F$14,'Calculations - Part 2'!$B$153:$H$153,0),0)</f>
        <v/>
      </c>
      <c r="G62" s="70" t="str">
        <f>VLOOKUP($B62,'Calculations - Part 2'!$B$154:$H$203,MATCH(G$14,'Calculations - Part 2'!$B$153:$H$153,0),0)</f>
        <v/>
      </c>
    </row>
    <row r="63" spans="2:7" ht="14.25" customHeight="1" x14ac:dyDescent="0.25">
      <c r="D63" s="53">
        <f>SUM(D51:D62)</f>
        <v>6065286.7711888514</v>
      </c>
      <c r="E63" s="53">
        <f>SUM(E51:E62)</f>
        <v>5821611.3494925983</v>
      </c>
      <c r="F63" s="53">
        <f>SUM(F51:F62)</f>
        <v>-243675.42169625382</v>
      </c>
      <c r="G63" s="73">
        <f>F63/D63</f>
        <v>-4.0175416412914507E-2</v>
      </c>
    </row>
    <row r="68" spans="2:7" ht="30" x14ac:dyDescent="0.2">
      <c r="B68" s="106" t="s">
        <v>595</v>
      </c>
      <c r="C68" s="58"/>
      <c r="D68" s="71" t="s">
        <v>591</v>
      </c>
      <c r="E68" s="71" t="s">
        <v>592</v>
      </c>
      <c r="F68" s="71" t="s">
        <v>589</v>
      </c>
      <c r="G68" s="71" t="s">
        <v>593</v>
      </c>
    </row>
    <row r="69" spans="2:7" x14ac:dyDescent="0.2">
      <c r="B69" t="s">
        <v>167</v>
      </c>
      <c r="D69" s="125" t="s">
        <v>594</v>
      </c>
      <c r="E69" s="125"/>
      <c r="F69" s="125"/>
      <c r="G69" s="125"/>
    </row>
    <row r="70" spans="2:7" x14ac:dyDescent="0.2">
      <c r="B70" t="s">
        <v>129</v>
      </c>
      <c r="D70" s="52">
        <f>VLOOKUP($B70,'Calculations - Part 2'!$B$154:$H$203,MATCH(D$68,'Calculations - Part 2'!$B$153:$H$153,0),0)</f>
        <v>0</v>
      </c>
      <c r="E70" s="52">
        <f>VLOOKUP($B70,'Calculations - Part 2'!$B$154:$H$203,MATCH(E$68,'Calculations - Part 2'!$B$153:$H$153,0),0)</f>
        <v>0</v>
      </c>
      <c r="F70" s="52">
        <f>VLOOKUP($B70,'Calculations - Part 2'!$B$154:$H$203,MATCH(F$14,'Calculations - Part 2'!$B$153:$H$153,0),0)</f>
        <v>0</v>
      </c>
      <c r="G70" s="70" t="str">
        <f>VLOOKUP($B70,'Calculations - Part 2'!$B$154:$H$203,MATCH(G$14,'Calculations - Part 2'!$B$153:$H$153,0),0)</f>
        <v/>
      </c>
    </row>
    <row r="71" spans="2:7" x14ac:dyDescent="0.2">
      <c r="B71" t="s">
        <v>141</v>
      </c>
      <c r="D71" s="52">
        <f>VLOOKUP($B71,'Calculations - Part 2'!$B$154:$H$203,MATCH(D$68,'Calculations - Part 2'!$B$153:$H$153,0),0)</f>
        <v>9374.4932268879002</v>
      </c>
      <c r="E71" s="52">
        <f>VLOOKUP($B71,'Calculations - Part 2'!$B$154:$H$203,MATCH(E$68,'Calculations - Part 2'!$B$153:$H$153,0),0)</f>
        <v>9378.3738216104666</v>
      </c>
      <c r="F71" s="52">
        <f>VLOOKUP($B71,'Calculations - Part 2'!$B$154:$H$203,MATCH(F$14,'Calculations - Part 2'!$B$153:$H$153,0),0)</f>
        <v>3.8805947225664568</v>
      </c>
      <c r="G71" s="70">
        <f>VLOOKUP($B71,'Calculations - Part 2'!$B$154:$H$203,MATCH(G$14,'Calculations - Part 2'!$B$153:$H$153,0),0)</f>
        <v>4.1395248027242815E-4</v>
      </c>
    </row>
    <row r="72" spans="2:7" x14ac:dyDescent="0.2">
      <c r="B72" t="s">
        <v>109</v>
      </c>
      <c r="D72" s="52">
        <f>VLOOKUP($B72,'Calculations - Part 2'!$B$154:$H$203,MATCH(D$68,'Calculations - Part 2'!$B$153:$H$153,0),0)</f>
        <v>490543.17246977455</v>
      </c>
      <c r="E72" s="52">
        <f>VLOOKUP($B72,'Calculations - Part 2'!$B$154:$H$203,MATCH(E$68,'Calculations - Part 2'!$B$153:$H$153,0),0)</f>
        <v>490985.05042011471</v>
      </c>
      <c r="F72" s="52">
        <f>VLOOKUP($B72,'Calculations - Part 2'!$B$154:$H$203,MATCH(F$14,'Calculations - Part 2'!$B$153:$H$153,0),0)</f>
        <v>441.87795034016017</v>
      </c>
      <c r="G72" s="70">
        <f>VLOOKUP($B72,'Calculations - Part 2'!$B$154:$H$203,MATCH(G$14,'Calculations - Part 2'!$B$153:$H$153,0),0)</f>
        <v>9.0079319240232714E-4</v>
      </c>
    </row>
    <row r="73" spans="2:7" x14ac:dyDescent="0.2">
      <c r="B73" t="s">
        <v>79</v>
      </c>
      <c r="D73" s="52">
        <f>VLOOKUP($B73,'Calculations - Part 2'!$B$154:$H$203,MATCH(D$68,'Calculations - Part 2'!$B$153:$H$153,0),0)</f>
        <v>502753.20599724923</v>
      </c>
      <c r="E73" s="52">
        <f>VLOOKUP($B73,'Calculations - Part 2'!$B$154:$H$203,MATCH(E$68,'Calculations - Part 2'!$B$153:$H$153,0),0)</f>
        <v>503206.08266266994</v>
      </c>
      <c r="F73" s="52">
        <f>VLOOKUP($B73,'Calculations - Part 2'!$B$154:$H$203,MATCH(F$14,'Calculations - Part 2'!$B$153:$H$153,0),0)</f>
        <v>452.87666542071383</v>
      </c>
      <c r="G73" s="70">
        <f>VLOOKUP($B73,'Calculations - Part 2'!$B$154:$H$203,MATCH(G$14,'Calculations - Part 2'!$B$153:$H$153,0),0)</f>
        <v>9.0079319240232714E-4</v>
      </c>
    </row>
    <row r="74" spans="2:7" x14ac:dyDescent="0.2">
      <c r="B74" t="s">
        <v>133</v>
      </c>
      <c r="D74" s="52">
        <f>VLOOKUP($B74,'Calculations - Part 2'!$B$154:$H$203,MATCH(D$68,'Calculations - Part 2'!$B$153:$H$153,0),0)</f>
        <v>904853.17075333383</v>
      </c>
      <c r="E74" s="52">
        <f>VLOOKUP($B74,'Calculations - Part 2'!$B$154:$H$203,MATCH(E$68,'Calculations - Part 2'!$B$153:$H$153,0),0)</f>
        <v>905668.25632967195</v>
      </c>
      <c r="F74" s="52">
        <f>VLOOKUP($B74,'Calculations - Part 2'!$B$154:$H$203,MATCH(F$14,'Calculations - Part 2'!$B$153:$H$153,0),0)</f>
        <v>815.08557633811142</v>
      </c>
      <c r="G74" s="70">
        <f>VLOOKUP($B74,'Calculations - Part 2'!$B$154:$H$203,MATCH(G$14,'Calculations - Part 2'!$B$153:$H$153,0),0)</f>
        <v>9.0079319240210509E-4</v>
      </c>
    </row>
    <row r="75" spans="2:7" x14ac:dyDescent="0.2">
      <c r="B75" t="s">
        <v>161</v>
      </c>
      <c r="D75" s="52">
        <f>VLOOKUP($B75,'Calculations - Part 2'!$B$154:$H$203,MATCH(D$68,'Calculations - Part 2'!$B$153:$H$153,0),0)</f>
        <v>1583974.9659804455</v>
      </c>
      <c r="E75" s="52">
        <f>VLOOKUP($B75,'Calculations - Part 2'!$B$154:$H$203,MATCH(E$68,'Calculations - Part 2'!$B$153:$H$153,0),0)</f>
        <v>1585401.7998467362</v>
      </c>
      <c r="F75" s="52">
        <f>VLOOKUP($B75,'Calculations - Part 2'!$B$154:$H$203,MATCH(F$14,'Calculations - Part 2'!$B$153:$H$153,0),0)</f>
        <v>1426.8338662907481</v>
      </c>
      <c r="G75" s="70">
        <f>VLOOKUP($B75,'Calculations - Part 2'!$B$154:$H$203,MATCH(G$14,'Calculations - Part 2'!$B$153:$H$153,0),0)</f>
        <v>9.0079319240232714E-4</v>
      </c>
    </row>
    <row r="76" spans="2:7" x14ac:dyDescent="0.2">
      <c r="B76" t="s">
        <v>163</v>
      </c>
      <c r="D76" s="52">
        <f>VLOOKUP($B76,'Calculations - Part 2'!$B$154:$H$203,MATCH(D$68,'Calculations - Part 2'!$B$153:$H$153,0),0)</f>
        <v>1850163.1208028942</v>
      </c>
      <c r="E76" s="52">
        <f>VLOOKUP($B76,'Calculations - Part 2'!$B$154:$H$203,MATCH(E$68,'Calculations - Part 2'!$B$153:$H$153,0),0)</f>
        <v>1851829.7351469472</v>
      </c>
      <c r="F76" s="52">
        <f>VLOOKUP($B76,'Calculations - Part 2'!$B$154:$H$203,MATCH(F$14,'Calculations - Part 2'!$B$153:$H$153,0),0)</f>
        <v>1666.6143440529704</v>
      </c>
      <c r="G76" s="70">
        <f>VLOOKUP($B76,'Calculations - Part 2'!$B$154:$H$203,MATCH(G$14,'Calculations - Part 2'!$B$153:$H$153,0),0)</f>
        <v>9.0079319240232714E-4</v>
      </c>
    </row>
    <row r="77" spans="2:7" x14ac:dyDescent="0.2">
      <c r="B77" t="s">
        <v>91</v>
      </c>
      <c r="D77" s="52">
        <f>VLOOKUP($B77,'Calculations - Part 2'!$B$154:$H$203,MATCH(D$68,'Calculations - Part 2'!$B$153:$H$153,0),0)</f>
        <v>2077530.8125844761</v>
      </c>
      <c r="E77" s="52">
        <f>VLOOKUP($B77,'Calculations - Part 2'!$B$154:$H$203,MATCH(E$68,'Calculations - Part 2'!$B$153:$H$153,0),0)</f>
        <v>2079402.238197458</v>
      </c>
      <c r="F77" s="52">
        <f>VLOOKUP($B77,'Calculations - Part 2'!$B$154:$H$203,MATCH(F$14,'Calculations - Part 2'!$B$153:$H$153,0),0)</f>
        <v>1871.4256129818968</v>
      </c>
      <c r="G77" s="70">
        <f>VLOOKUP($B77,'Calculations - Part 2'!$B$154:$H$203,MATCH(G$14,'Calculations - Part 2'!$B$153:$H$153,0),0)</f>
        <v>9.0079319240210509E-4</v>
      </c>
    </row>
    <row r="78" spans="2:7" x14ac:dyDescent="0.2">
      <c r="B78" t="s">
        <v>117</v>
      </c>
      <c r="D78" s="52">
        <f>VLOOKUP($B78,'Calculations - Part 2'!$B$154:$H$203,MATCH(D$68,'Calculations - Part 2'!$B$153:$H$153,0),0)</f>
        <v>8612586.5825998615</v>
      </c>
      <c r="E78" s="52">
        <f>VLOOKUP($B78,'Calculations - Part 2'!$B$154:$H$203,MATCH(E$68,'Calculations - Part 2'!$B$153:$H$153,0),0)</f>
        <v>8620344.7419624422</v>
      </c>
      <c r="F78" s="52">
        <f>VLOOKUP($B78,'Calculations - Part 2'!$B$154:$H$203,MATCH(F$14,'Calculations - Part 2'!$B$153:$H$153,0),0)</f>
        <v>7758.1593625806272</v>
      </c>
      <c r="G78" s="70">
        <f>VLOOKUP($B78,'Calculations - Part 2'!$B$154:$H$203,MATCH(G$14,'Calculations - Part 2'!$B$153:$H$153,0),0)</f>
        <v>9.0079319240232714E-4</v>
      </c>
    </row>
    <row r="79" spans="2:7" x14ac:dyDescent="0.2">
      <c r="B79" t="s">
        <v>68</v>
      </c>
      <c r="D79" s="52">
        <f>VLOOKUP($B79,'Calculations - Part 2'!$B$154:$H$203,MATCH(D$68,'Calculations - Part 2'!$B$153:$H$153,0),0)</f>
        <v>617970.65613822907</v>
      </c>
      <c r="E79" s="52">
        <f>VLOOKUP($B79,'Calculations - Part 2'!$B$154:$H$203,MATCH(E$68,'Calculations - Part 2'!$B$153:$H$153,0),0)</f>
        <v>657604.31295457913</v>
      </c>
      <c r="F79" s="52">
        <f>VLOOKUP($B79,'Calculations - Part 2'!$B$154:$H$203,MATCH(F$14,'Calculations - Part 2'!$B$153:$H$153,0),0)</f>
        <v>39633.656816350063</v>
      </c>
      <c r="G79" s="70">
        <f>VLOOKUP($B79,'Calculations - Part 2'!$B$154:$H$203,MATCH(G$14,'Calculations - Part 2'!$B$153:$H$153,0),0)</f>
        <v>6.4135176035744923E-2</v>
      </c>
    </row>
    <row r="80" spans="2:7" x14ac:dyDescent="0.2">
      <c r="B80" t="s">
        <v>127</v>
      </c>
      <c r="D80" s="52">
        <f>VLOOKUP($B80,'Calculations - Part 2'!$B$154:$H$203,MATCH(D$68,'Calculations - Part 2'!$B$153:$H$153,0),0)</f>
        <v>32229964.027277619</v>
      </c>
      <c r="E80" s="52">
        <f>VLOOKUP($B80,'Calculations - Part 2'!$B$154:$H$203,MATCH(E$68,'Calculations - Part 2'!$B$153:$H$153,0),0)</f>
        <v>32258996.55946476</v>
      </c>
      <c r="F80" s="52">
        <f>VLOOKUP($B80,'Calculations - Part 2'!$B$154:$H$203,MATCH(F$14,'Calculations - Part 2'!$B$153:$H$153,0),0)</f>
        <v>29032.532187141478</v>
      </c>
      <c r="G80" s="70">
        <f>VLOOKUP($B80,'Calculations - Part 2'!$B$154:$H$203,MATCH(G$14,'Calculations - Part 2'!$B$153:$H$153,0),0)</f>
        <v>9.0079319240232714E-4</v>
      </c>
    </row>
    <row r="82" spans="2:7" ht="15" x14ac:dyDescent="0.25">
      <c r="D82" s="53">
        <f>SUM(D70:D80)</f>
        <v>48879714.207830772</v>
      </c>
      <c r="E82" s="53">
        <f>SUM(E70:E80)</f>
        <v>48962817.150806993</v>
      </c>
      <c r="F82" s="53">
        <f>SUM(F70:F80)</f>
        <v>83102.942976219332</v>
      </c>
      <c r="G82" s="73">
        <f>F82/D82</f>
        <v>1.7001519817173118E-3</v>
      </c>
    </row>
    <row r="85" spans="2:7" x14ac:dyDescent="0.2">
      <c r="B85" t="s">
        <v>167</v>
      </c>
      <c r="C85" t="s">
        <v>168</v>
      </c>
      <c r="D85" t="s">
        <v>70</v>
      </c>
    </row>
    <row r="86" spans="2:7" x14ac:dyDescent="0.2">
      <c r="B86" t="s">
        <v>103</v>
      </c>
      <c r="C86" t="s">
        <v>175</v>
      </c>
      <c r="D86" t="s">
        <v>41</v>
      </c>
    </row>
    <row r="87" spans="2:7" x14ac:dyDescent="0.2">
      <c r="B87" t="s">
        <v>165</v>
      </c>
      <c r="C87" t="s">
        <v>166</v>
      </c>
      <c r="D87" t="s">
        <v>41</v>
      </c>
    </row>
    <row r="88" spans="2:7" x14ac:dyDescent="0.2">
      <c r="B88" t="s">
        <v>169</v>
      </c>
      <c r="C88" t="s">
        <v>170</v>
      </c>
      <c r="D88" t="s">
        <v>41</v>
      </c>
    </row>
    <row r="89" spans="2:7" x14ac:dyDescent="0.2">
      <c r="B89" t="s">
        <v>171</v>
      </c>
      <c r="C89" t="s">
        <v>172</v>
      </c>
      <c r="D89" t="s">
        <v>41</v>
      </c>
    </row>
    <row r="90" spans="2:7" x14ac:dyDescent="0.2">
      <c r="B90" t="s">
        <v>173</v>
      </c>
      <c r="C90" t="s">
        <v>174</v>
      </c>
      <c r="D90" t="s">
        <v>41</v>
      </c>
    </row>
  </sheetData>
  <sortState xmlns:xlrd2="http://schemas.microsoft.com/office/spreadsheetml/2017/richdata2" ref="B51:G62">
    <sortCondition ref="F51:F62"/>
  </sortState>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7B58A-3AA5-477E-AE97-8537378E2950}">
  <sheetPr>
    <tabColor theme="2" tint="0.39997558519241921"/>
  </sheetPr>
  <dimension ref="A1:Q211"/>
  <sheetViews>
    <sheetView showGridLines="0" zoomScale="70" zoomScaleNormal="70" workbookViewId="0"/>
  </sheetViews>
  <sheetFormatPr defaultRowHeight="14.25" x14ac:dyDescent="0.2"/>
  <cols>
    <col min="1" max="1" width="41.875" customWidth="1"/>
    <col min="2" max="2" width="52" customWidth="1"/>
    <col min="3" max="3" width="23.375" customWidth="1"/>
    <col min="4" max="4" width="21.875" customWidth="1"/>
    <col min="5" max="5" width="30.875" customWidth="1"/>
    <col min="6" max="6" width="24.25" customWidth="1"/>
    <col min="7" max="7" width="17.75" customWidth="1"/>
    <col min="8" max="8" width="27.25" customWidth="1"/>
    <col min="9" max="9" width="21.75" customWidth="1"/>
    <col min="10" max="10" width="27.75" customWidth="1"/>
    <col min="11" max="11" width="25.125" customWidth="1"/>
    <col min="12" max="12" width="36.625" customWidth="1"/>
    <col min="13" max="13" width="27.125" customWidth="1"/>
    <col min="14" max="14" width="23.25" customWidth="1"/>
    <col min="15" max="15" width="26.5" customWidth="1"/>
    <col min="16" max="17" width="19.375" customWidth="1"/>
    <col min="18" max="18" width="30.75" customWidth="1"/>
    <col min="19" max="19" width="37.875" customWidth="1"/>
    <col min="20" max="20" width="17.75" customWidth="1"/>
    <col min="21" max="22" width="20.625" customWidth="1"/>
    <col min="23" max="23" width="30" customWidth="1"/>
    <col min="24" max="25" width="20.625" customWidth="1"/>
    <col min="26" max="26" width="13.5" bestFit="1" customWidth="1"/>
    <col min="27" max="27" width="20.5" customWidth="1"/>
    <col min="31" max="31" width="20" customWidth="1"/>
    <col min="32" max="32" width="17" customWidth="1"/>
  </cols>
  <sheetData>
    <row r="1" spans="1:17" ht="26.25" x14ac:dyDescent="0.4">
      <c r="A1" s="114" t="s">
        <v>596</v>
      </c>
    </row>
    <row r="3" spans="1:17" x14ac:dyDescent="0.2">
      <c r="I3" s="19"/>
      <c r="Q3" s="2"/>
    </row>
    <row r="4" spans="1:17" ht="26.25" x14ac:dyDescent="0.4">
      <c r="A4" s="12" t="s">
        <v>597</v>
      </c>
      <c r="I4" s="19"/>
      <c r="J4" s="19"/>
      <c r="N4" s="22"/>
      <c r="Q4" s="2"/>
    </row>
    <row r="5" spans="1:17" x14ac:dyDescent="0.2">
      <c r="I5" s="19"/>
      <c r="N5" s="2"/>
    </row>
    <row r="6" spans="1:17" ht="15" x14ac:dyDescent="0.25">
      <c r="A6" s="4" t="s">
        <v>48</v>
      </c>
    </row>
    <row r="7" spans="1:17" x14ac:dyDescent="0.2">
      <c r="A7" t="s">
        <v>49</v>
      </c>
      <c r="I7" s="19"/>
    </row>
    <row r="8" spans="1:17" x14ac:dyDescent="0.2">
      <c r="D8" t="s">
        <v>598</v>
      </c>
      <c r="E8" t="s">
        <v>598</v>
      </c>
      <c r="F8" t="s">
        <v>599</v>
      </c>
    </row>
    <row r="9" spans="1:17" ht="15" x14ac:dyDescent="0.2">
      <c r="A9" s="20" t="s">
        <v>52</v>
      </c>
      <c r="B9" s="20" t="s">
        <v>53</v>
      </c>
      <c r="C9" s="20" t="s">
        <v>54</v>
      </c>
      <c r="D9" s="20" t="s">
        <v>55</v>
      </c>
      <c r="E9" s="20" t="s">
        <v>56</v>
      </c>
      <c r="F9" s="20" t="s">
        <v>57</v>
      </c>
      <c r="G9" s="20" t="s">
        <v>58</v>
      </c>
      <c r="H9" s="20"/>
    </row>
    <row r="10" spans="1:17" x14ac:dyDescent="0.2">
      <c r="A10" s="5" t="s">
        <v>63</v>
      </c>
      <c r="B10" s="5" t="s">
        <v>64</v>
      </c>
      <c r="C10" s="5" t="s">
        <v>65</v>
      </c>
      <c r="D10" s="23">
        <f>_xlfn.XLOOKUP($B10,'Inputs - Part 1'!$B$17:$B$66,'Inputs - Part 1'!$C$17:$C$66,FALSE)</f>
        <v>157908.87169791179</v>
      </c>
      <c r="E10" s="13">
        <f>'Calculations - Part 1'!E8</f>
        <v>807441758.80079627</v>
      </c>
      <c r="F10" s="32">
        <f>_xlfn.XLOOKUP(A10,'Inputs - Part 2'!$O$8:$O$57,'Inputs - Part 2'!$AE$8:$AE$57,FALSE)</f>
        <v>825810950</v>
      </c>
      <c r="G10" s="51">
        <f>IFERROR(F10/E10,"")</f>
        <v>1.022749865236702</v>
      </c>
      <c r="H10" s="24"/>
      <c r="I10" t="str">
        <f>_xlfn.XLOOKUP(A10,'Inputs - Part 2'!$O$8:$O$63,'Inputs - Part 2'!$O$8:$O$63,FALSE)</f>
        <v>Alpine Energy Ltd</v>
      </c>
    </row>
    <row r="11" spans="1:17" x14ac:dyDescent="0.2">
      <c r="A11" s="5" t="s">
        <v>66</v>
      </c>
      <c r="B11" s="5" t="s">
        <v>67</v>
      </c>
      <c r="C11" s="5" t="s">
        <v>65</v>
      </c>
      <c r="D11" s="23">
        <f>_xlfn.XLOOKUP($B11,'Inputs - Part 1'!$B$17:$B$66,'Inputs - Part 1'!$C$17:$C$66,FALSE)</f>
        <v>314515.10018347035</v>
      </c>
      <c r="E11" s="13">
        <f>'Calculations - Part 1'!E9</f>
        <v>1397234573.344038</v>
      </c>
      <c r="F11" s="32">
        <f>_xlfn.XLOOKUP(A11,'Inputs - Part 2'!$O$8:$O$57,'Inputs - Part 2'!$AE$8:$AE$57,FALSE)</f>
        <v>1405538175.0000002</v>
      </c>
      <c r="G11" s="51">
        <f t="shared" ref="G11:G59" si="0">IFERROR(F11/E11,"")</f>
        <v>1.005942883045106</v>
      </c>
      <c r="H11" s="24"/>
      <c r="I11" t="str">
        <f>_xlfn.XLOOKUP(A11,'Inputs - Part 2'!$O$8:$O$63,'Inputs - Part 2'!$O$8:$O$63,FALSE)</f>
        <v>Aurora Energy Limited</v>
      </c>
    </row>
    <row r="12" spans="1:17" x14ac:dyDescent="0.2">
      <c r="A12" s="5" t="s">
        <v>68</v>
      </c>
      <c r="B12" s="5" t="s">
        <v>69</v>
      </c>
      <c r="C12" s="5" t="s">
        <v>70</v>
      </c>
      <c r="D12" s="23">
        <f>_xlfn.XLOOKUP($B12,'Inputs - Part 1'!$B$17:$B$66,'Inputs - Part 1'!$C$17:$C$66,FALSE)</f>
        <v>9169.2914333076369</v>
      </c>
      <c r="E12" s="13">
        <f>'Calculations - Part 1'!E10</f>
        <v>60196660.750880986</v>
      </c>
      <c r="F12" s="32">
        <f>_xlfn.XLOOKUP(A12,'Inputs - Part 2'!$O$8:$O$57,'Inputs - Part 2'!$AE$8:$AE$57,FALSE)</f>
        <v>74252362.25</v>
      </c>
      <c r="G12" s="51">
        <f t="shared" si="0"/>
        <v>1.2334963654759423</v>
      </c>
      <c r="H12" s="24"/>
      <c r="I12" t="str">
        <f>_xlfn.XLOOKUP(A12,'Inputs - Part 2'!$O$8:$O$63,'Inputs - Part 2'!$O$8:$O$63,FALSE)</f>
        <v>Beach Energy Resources NZ (Holdings) Ltd</v>
      </c>
    </row>
    <row r="13" spans="1:17" x14ac:dyDescent="0.2">
      <c r="A13" s="5" t="s">
        <v>71</v>
      </c>
      <c r="B13" s="5" t="s">
        <v>72</v>
      </c>
      <c r="C13" s="5" t="s">
        <v>65</v>
      </c>
      <c r="D13" s="23">
        <f>_xlfn.XLOOKUP($B13,'Inputs - Part 1'!$B$17:$B$66,'Inputs - Part 1'!$C$17:$C$66,FALSE)</f>
        <v>12557.346564605836</v>
      </c>
      <c r="E13" s="13">
        <f>'Calculations - Part 1'!E11</f>
        <v>64988439.821759999</v>
      </c>
      <c r="F13" s="32">
        <f>_xlfn.XLOOKUP(A13,'Inputs - Part 2'!$O$8:$O$57,'Inputs - Part 2'!$AE$8:$AE$57,FALSE)</f>
        <v>54133773.249999993</v>
      </c>
      <c r="G13" s="51">
        <f t="shared" si="0"/>
        <v>0.83297542452887829</v>
      </c>
      <c r="H13" s="24"/>
      <c r="I13" t="str">
        <f>_xlfn.XLOOKUP(A13,'Inputs - Part 2'!$O$8:$O$63,'Inputs - Part 2'!$O$8:$O$63,FALSE)</f>
        <v>Buller Electricity Ltd</v>
      </c>
    </row>
    <row r="14" spans="1:17" x14ac:dyDescent="0.2">
      <c r="A14" s="5" t="s">
        <v>73</v>
      </c>
      <c r="B14" s="5" t="s">
        <v>74</v>
      </c>
      <c r="C14" s="5" t="s">
        <v>65</v>
      </c>
      <c r="D14" s="23">
        <f>_xlfn.XLOOKUP($B14,'Inputs - Part 1'!$B$17:$B$66,'Inputs - Part 1'!$C$17:$C$66,FALSE)</f>
        <v>20401.126551369241</v>
      </c>
      <c r="E14" s="13">
        <f>'Calculations - Part 1'!E12</f>
        <v>116244161.72825974</v>
      </c>
      <c r="F14" s="32">
        <f>_xlfn.XLOOKUP(A14,'Inputs - Part 2'!$O$8:$O$57,'Inputs - Part 2'!$AE$8:$AE$57,FALSE)</f>
        <v>119675107.25</v>
      </c>
      <c r="G14" s="51">
        <f t="shared" si="0"/>
        <v>1.0295149921572893</v>
      </c>
      <c r="H14" s="24"/>
      <c r="I14" t="str">
        <f>_xlfn.XLOOKUP(A14,'Inputs - Part 2'!$O$8:$O$63,'Inputs - Part 2'!$O$8:$O$63,FALSE)</f>
        <v>Centralines Limited</v>
      </c>
    </row>
    <row r="15" spans="1:17" x14ac:dyDescent="0.2">
      <c r="A15" s="5" t="s">
        <v>75</v>
      </c>
      <c r="B15" s="5" t="s">
        <v>76</v>
      </c>
      <c r="C15" s="5" t="s">
        <v>41</v>
      </c>
      <c r="D15" s="23">
        <f>_xlfn.XLOOKUP($B15,'Inputs - Part 1'!$B$17:$B$66,'Inputs - Part 1'!$C$17:$C$66,FALSE)</f>
        <v>23926.403185245243</v>
      </c>
      <c r="E15" s="13">
        <f>'Calculations - Part 1'!E13</f>
        <v>7520721.5444087246</v>
      </c>
      <c r="F15" s="32">
        <f>_xlfn.XLOOKUP(A15,'Inputs - Part 2'!$O$8:$O$57,'Inputs - Part 2'!$AE$8:$AE$57,FALSE)</f>
        <v>7193581.1999999993</v>
      </c>
      <c r="G15" s="51">
        <f t="shared" si="0"/>
        <v>0.95650146831297889</v>
      </c>
      <c r="H15" s="24"/>
      <c r="I15" t="str">
        <f>_xlfn.XLOOKUP(A15,'Inputs - Part 2'!$O$8:$O$63,'Inputs - Part 2'!$O$8:$O$63,FALSE)</f>
        <v>Contact Energy Limited</v>
      </c>
    </row>
    <row r="16" spans="1:17" x14ac:dyDescent="0.2">
      <c r="A16" s="5" t="s">
        <v>77</v>
      </c>
      <c r="B16" s="5" t="s">
        <v>78</v>
      </c>
      <c r="C16" s="5" t="s">
        <v>65</v>
      </c>
      <c r="D16" s="23">
        <f>_xlfn.XLOOKUP($B16,'Inputs - Part 1'!$B$17:$B$66,'Inputs - Part 1'!$C$17:$C$66,FALSE)</f>
        <v>125646.12072311423</v>
      </c>
      <c r="E16" s="13">
        <f>'Calculations - Part 1'!E14</f>
        <v>594682638.53226733</v>
      </c>
      <c r="F16" s="32">
        <f>_xlfn.XLOOKUP(A16,'Inputs - Part 2'!$O$8:$O$57,'Inputs - Part 2'!$AE$8:$AE$57,FALSE)</f>
        <v>661690910</v>
      </c>
      <c r="G16" s="51">
        <f t="shared" si="0"/>
        <v>1.112679044461623</v>
      </c>
      <c r="H16" s="24"/>
      <c r="I16" t="str">
        <f>_xlfn.XLOOKUP(A16,'Inputs - Part 2'!$O$8:$O$63,'Inputs - Part 2'!$O$8:$O$63,FALSE)</f>
        <v>Counties Energy Ltd</v>
      </c>
    </row>
    <row r="17" spans="1:9" x14ac:dyDescent="0.2">
      <c r="A17" s="5" t="s">
        <v>79</v>
      </c>
      <c r="B17" s="5" t="s">
        <v>80</v>
      </c>
      <c r="C17" s="5" t="s">
        <v>70</v>
      </c>
      <c r="D17" s="23">
        <f>_xlfn.XLOOKUP($B17,'Inputs - Part 1'!$B$17:$B$66,'Inputs - Part 1'!$C$17:$C$66,FALSE)</f>
        <v>9212.9301183784573</v>
      </c>
      <c r="E17" s="13">
        <f>'Calculations - Part 1'!E15</f>
        <v>57918041.432570472</v>
      </c>
      <c r="F17" s="32">
        <f>_xlfn.XLOOKUP(A17,'Inputs - Part 2'!$O$8:$O$57,'Inputs - Part 2'!$AE$8:$AE$57,FALSE)</f>
        <v>57846453.25</v>
      </c>
      <c r="G17" s="51">
        <f t="shared" si="0"/>
        <v>0.99876397438863995</v>
      </c>
      <c r="H17" s="24"/>
      <c r="I17" t="str">
        <f>_xlfn.XLOOKUP(A17,'Inputs - Part 2'!$O$8:$O$63,'Inputs - Part 2'!$O$8:$O$63,FALSE)</f>
        <v>Daiken Southland Limited</v>
      </c>
    </row>
    <row r="18" spans="1:9" x14ac:dyDescent="0.2">
      <c r="A18" s="5" t="s">
        <v>81</v>
      </c>
      <c r="B18" s="5" t="s">
        <v>82</v>
      </c>
      <c r="C18" s="5" t="s">
        <v>65</v>
      </c>
      <c r="D18" s="23">
        <f>_xlfn.XLOOKUP($B18,'Inputs - Part 1'!$B$17:$B$66,'Inputs - Part 1'!$C$17:$C$66,FALSE)</f>
        <v>164353.54933700786</v>
      </c>
      <c r="E18" s="13">
        <f>'Calculations - Part 1'!E16</f>
        <v>605647198.91170764</v>
      </c>
      <c r="F18" s="32">
        <f>_xlfn.XLOOKUP(A18,'Inputs - Part 2'!$O$8:$O$57,'Inputs - Part 2'!$AE$8:$AE$57,FALSE)</f>
        <v>613724854.99999988</v>
      </c>
      <c r="G18" s="51">
        <f t="shared" si="0"/>
        <v>1.013337230161069</v>
      </c>
      <c r="H18" s="24"/>
      <c r="I18" t="str">
        <f>_xlfn.XLOOKUP(A18,'Inputs - Part 2'!$O$8:$O$63,'Inputs - Part 2'!$O$8:$O$63,FALSE)</f>
        <v>EA Networks</v>
      </c>
    </row>
    <row r="19" spans="1:9" x14ac:dyDescent="0.2">
      <c r="A19" s="5" t="s">
        <v>83</v>
      </c>
      <c r="B19" s="5" t="s">
        <v>84</v>
      </c>
      <c r="C19" s="5" t="s">
        <v>65</v>
      </c>
      <c r="D19" s="23">
        <f>_xlfn.XLOOKUP($B19,'Inputs - Part 1'!$B$17:$B$66,'Inputs - Part 1'!$C$17:$C$66,FALSE)</f>
        <v>111170.00569507317</v>
      </c>
      <c r="E19" s="13">
        <f>'Calculations - Part 1'!E17</f>
        <v>441580343.09946805</v>
      </c>
      <c r="F19" s="32">
        <f>_xlfn.XLOOKUP(A19,'Inputs - Part 2'!$O$8:$O$57,'Inputs - Part 2'!$AE$8:$AE$57,FALSE)</f>
        <v>454880912.5</v>
      </c>
      <c r="G19" s="51">
        <f t="shared" si="0"/>
        <v>1.0301203837724633</v>
      </c>
      <c r="H19" s="24"/>
      <c r="I19" t="str">
        <f>_xlfn.XLOOKUP(A19,'Inputs - Part 2'!$O$8:$O$63,'Inputs - Part 2'!$O$8:$O$63,FALSE)</f>
        <v>Electra Limited</v>
      </c>
    </row>
    <row r="20" spans="1:9" x14ac:dyDescent="0.2">
      <c r="A20" s="5" t="s">
        <v>85</v>
      </c>
      <c r="B20" s="5" t="s">
        <v>86</v>
      </c>
      <c r="C20" s="5" t="s">
        <v>65</v>
      </c>
      <c r="D20" s="23">
        <f>_xlfn.XLOOKUP($B20,'Inputs - Part 1'!$B$17:$B$66,'Inputs - Part 1'!$C$17:$C$66,FALSE)</f>
        <v>60328.437034872062</v>
      </c>
      <c r="E20" s="13">
        <f>'Calculations - Part 1'!E18</f>
        <v>306423642.62857062</v>
      </c>
      <c r="F20" s="32">
        <f>_xlfn.XLOOKUP(A20,'Inputs - Part 2'!$O$8:$O$57,'Inputs - Part 2'!$AE$8:$AE$57,FALSE)</f>
        <v>311500655.00000006</v>
      </c>
      <c r="G20" s="51">
        <f t="shared" si="0"/>
        <v>1.0165686052416769</v>
      </c>
      <c r="H20" s="24"/>
      <c r="I20" t="str">
        <f>_xlfn.XLOOKUP(A20,'Inputs - Part 2'!$O$8:$O$63,'Inputs - Part 2'!$O$8:$O$63,FALSE)</f>
        <v>Firstlight Network Limited</v>
      </c>
    </row>
    <row r="21" spans="1:9" x14ac:dyDescent="0.2">
      <c r="A21" s="5" t="s">
        <v>87</v>
      </c>
      <c r="B21" s="5" t="s">
        <v>88</v>
      </c>
      <c r="C21" s="5" t="s">
        <v>41</v>
      </c>
      <c r="D21" s="23">
        <f>_xlfn.XLOOKUP($B21,'Inputs - Part 1'!$B$17:$B$66,'Inputs - Part 1'!$C$17:$C$66,FALSE)</f>
        <v>12257.209096288712</v>
      </c>
      <c r="E21" s="13">
        <f>'Calculations - Part 1'!E19</f>
        <v>4792143.1851757336</v>
      </c>
      <c r="F21" s="32">
        <f>_xlfn.XLOOKUP(A21,'Inputs - Part 2'!$O$8:$O$57,'Inputs - Part 2'!$AE$8:$AE$57,FALSE)</f>
        <v>5047469.3250000002</v>
      </c>
      <c r="G21" s="51">
        <f t="shared" si="0"/>
        <v>1.0532801566977601</v>
      </c>
      <c r="H21" s="24"/>
      <c r="I21" t="str">
        <f>_xlfn.XLOOKUP(A21,'Inputs - Part 2'!$O$8:$O$63,'Inputs - Part 2'!$O$8:$O$63,FALSE)</f>
        <v>Genesis Energy Ltd</v>
      </c>
    </row>
    <row r="22" spans="1:9" x14ac:dyDescent="0.2">
      <c r="A22" s="5" t="s">
        <v>89</v>
      </c>
      <c r="B22" s="5" t="s">
        <v>90</v>
      </c>
      <c r="C22" s="5" t="s">
        <v>65</v>
      </c>
      <c r="D22" s="23">
        <f>_xlfn.XLOOKUP($B22,'Inputs - Part 1'!$B$17:$B$66,'Inputs - Part 1'!$C$17:$C$66,FALSE)</f>
        <v>93955.435419196016</v>
      </c>
      <c r="E22" s="13">
        <f>'Calculations - Part 1'!E20</f>
        <v>519500798.82964933</v>
      </c>
      <c r="F22" s="32">
        <f>_xlfn.XLOOKUP(A22,'Inputs - Part 2'!$O$8:$O$57,'Inputs - Part 2'!$AE$8:$AE$57,FALSE)</f>
        <v>493526319.99999994</v>
      </c>
      <c r="G22" s="51">
        <f t="shared" si="0"/>
        <v>0.95000108009811413</v>
      </c>
      <c r="H22" s="24"/>
      <c r="I22" t="str">
        <f>_xlfn.XLOOKUP(A22,'Inputs - Part 2'!$O$8:$O$63,'Inputs - Part 2'!$O$8:$O$63,FALSE)</f>
        <v>Horizon Energy Distribution Ltd</v>
      </c>
    </row>
    <row r="23" spans="1:9" x14ac:dyDescent="0.2">
      <c r="A23" s="5" t="s">
        <v>91</v>
      </c>
      <c r="B23" s="5" t="s">
        <v>92</v>
      </c>
      <c r="C23" s="5" t="s">
        <v>70</v>
      </c>
      <c r="D23" s="23">
        <f>_xlfn.XLOOKUP($B23,'Inputs - Part 1'!$B$17:$B$66,'Inputs - Part 1'!$C$17:$C$66,FALSE)</f>
        <v>44295.030922028483</v>
      </c>
      <c r="E23" s="13">
        <f>'Calculations - Part 1'!E21</f>
        <v>50674503.036744997</v>
      </c>
      <c r="F23" s="32">
        <f>_xlfn.XLOOKUP(A23,'Inputs - Part 2'!$O$8:$O$57,'Inputs - Part 2'!$AE$8:$AE$57,FALSE)</f>
        <v>43499850.050000004</v>
      </c>
      <c r="G23" s="51">
        <f t="shared" si="0"/>
        <v>0.85841690481813859</v>
      </c>
      <c r="H23" s="24"/>
      <c r="I23" t="str">
        <f>_xlfn.XLOOKUP(A23,'Inputs - Part 2'!$O$8:$O$63,'Inputs - Part 2'!$O$8:$O$63,FALSE)</f>
        <v>KiwiRail Holdings Limited</v>
      </c>
    </row>
    <row r="24" spans="1:9" x14ac:dyDescent="0.2">
      <c r="A24" s="5" t="s">
        <v>93</v>
      </c>
      <c r="B24" s="5" t="s">
        <v>94</v>
      </c>
      <c r="C24" s="5" t="s">
        <v>65</v>
      </c>
      <c r="D24" s="23">
        <f>_xlfn.XLOOKUP($B24,'Inputs - Part 1'!$B$17:$B$66,'Inputs - Part 1'!$C$17:$C$66,FALSE)</f>
        <v>133694.55012636675</v>
      </c>
      <c r="E24" s="13">
        <f>'Calculations - Part 1'!E22</f>
        <v>641620554.50348079</v>
      </c>
      <c r="F24" s="32">
        <f>_xlfn.XLOOKUP(A24,'Inputs - Part 2'!$O$8:$O$57,'Inputs - Part 2'!$AE$8:$AE$57,FALSE)</f>
        <v>657734397.25</v>
      </c>
      <c r="G24" s="51">
        <f t="shared" si="0"/>
        <v>1.0251142869931731</v>
      </c>
      <c r="H24" s="24"/>
      <c r="I24" t="str">
        <f>_xlfn.XLOOKUP(A24,'Inputs - Part 2'!$O$8:$O$63,'Inputs - Part 2'!$O$8:$O$63,FALSE)</f>
        <v>Mainpower New Zealand Limited</v>
      </c>
    </row>
    <row r="25" spans="1:9" x14ac:dyDescent="0.2">
      <c r="A25" s="5" t="s">
        <v>95</v>
      </c>
      <c r="B25" s="5" t="s">
        <v>96</v>
      </c>
      <c r="C25" s="5" t="s">
        <v>41</v>
      </c>
      <c r="D25" s="32">
        <f>_xlfn.XLOOKUP($B25,'Inputs - Part 1'!$B$17:$B$66,'Inputs - Part 1'!$C$17:$C$66,FALSE)</f>
        <v>594.66598784988241</v>
      </c>
      <c r="E25" s="13">
        <f>'Calculations - Part 1'!E23</f>
        <v>112125.0594066098</v>
      </c>
      <c r="F25" s="32">
        <f>_xlfn.XLOOKUP(A25,'Inputs - Part 2'!$O$8:$O$57,'Inputs - Part 2'!$AE$8:$AE$57,FALSE)</f>
        <v>112125.0594066098</v>
      </c>
      <c r="G25" s="51">
        <f t="shared" si="0"/>
        <v>1</v>
      </c>
      <c r="H25" s="24"/>
      <c r="I25" t="str">
        <f>_xlfn.XLOOKUP(A25,'Inputs - Part 2'!$O$8:$O$63,'Inputs - Part 2'!$O$8:$O$63,FALSE)</f>
        <v>Manawa Energy Ltd</v>
      </c>
    </row>
    <row r="26" spans="1:9" x14ac:dyDescent="0.2">
      <c r="A26" s="5" t="s">
        <v>97</v>
      </c>
      <c r="B26" s="5" t="s">
        <v>98</v>
      </c>
      <c r="C26" s="5" t="s">
        <v>65</v>
      </c>
      <c r="D26" s="23">
        <f>_xlfn.XLOOKUP($B26,'Inputs - Part 1'!$B$17:$B$66,'Inputs - Part 1'!$C$17:$C$66,FALSE)</f>
        <v>73571.074163261714</v>
      </c>
      <c r="E26" s="13">
        <f>'Calculations - Part 1'!E24</f>
        <v>401755690.54426664</v>
      </c>
      <c r="F26" s="32">
        <f>_xlfn.XLOOKUP(A26,'Inputs - Part 2'!$O$8:$O$57,'Inputs - Part 2'!$AE$8:$AE$57,FALSE)</f>
        <v>412331784.99999994</v>
      </c>
      <c r="G26" s="51">
        <f t="shared" si="0"/>
        <v>1.0263246911111716</v>
      </c>
      <c r="H26" s="24"/>
      <c r="I26" t="str">
        <f>_xlfn.XLOOKUP(A26,'Inputs - Part 2'!$O$8:$O$63,'Inputs - Part 2'!$O$8:$O$63,FALSE)</f>
        <v>Marlborough Lines Limited</v>
      </c>
    </row>
    <row r="27" spans="1:9" x14ac:dyDescent="0.2">
      <c r="A27" s="5" t="s">
        <v>99</v>
      </c>
      <c r="B27" s="5" t="s">
        <v>100</v>
      </c>
      <c r="C27" s="5" t="s">
        <v>41</v>
      </c>
      <c r="D27" s="23">
        <f>_xlfn.XLOOKUP($B27,'Inputs - Part 1'!$B$17:$B$66,'Inputs - Part 1'!$C$17:$C$66,FALSE)</f>
        <v>947.45817850165793</v>
      </c>
      <c r="E27" s="13">
        <f>'Calculations - Part 1'!E25</f>
        <v>553758.5</v>
      </c>
      <c r="F27" s="32">
        <f>_xlfn.XLOOKUP(A27,'Inputs - Part 2'!$O$8:$O$57,'Inputs - Part 2'!$AE$8:$AE$57,FALSE)</f>
        <v>0</v>
      </c>
      <c r="G27" s="51">
        <f t="shared" si="0"/>
        <v>0</v>
      </c>
      <c r="H27" s="24"/>
      <c r="I27" t="str">
        <f>_xlfn.XLOOKUP(A27,'Inputs - Part 2'!$O$8:$O$63,'Inputs - Part 2'!$O$8:$O$63,FALSE)</f>
        <v>MEL (Te Apiti) Limited</v>
      </c>
    </row>
    <row r="28" spans="1:9" x14ac:dyDescent="0.2">
      <c r="A28" s="5" t="s">
        <v>101</v>
      </c>
      <c r="B28" s="5" t="s">
        <v>102</v>
      </c>
      <c r="C28" s="5" t="s">
        <v>41</v>
      </c>
      <c r="D28" s="23">
        <f>_xlfn.XLOOKUP($B28,'Inputs - Part 1'!$B$17:$B$66,'Inputs - Part 1'!$C$17:$C$66,FALSE)</f>
        <v>1172.1685689522503</v>
      </c>
      <c r="E28" s="13">
        <f>'Calculations - Part 1'!E26</f>
        <v>687321.75</v>
      </c>
      <c r="F28" s="32">
        <f>_xlfn.XLOOKUP(A28,'Inputs - Part 2'!$O$8:$O$57,'Inputs - Part 2'!$AE$8:$AE$57,FALSE)</f>
        <v>0</v>
      </c>
      <c r="G28" s="51">
        <f t="shared" si="0"/>
        <v>0</v>
      </c>
      <c r="H28" s="24"/>
      <c r="I28" t="str">
        <f>_xlfn.XLOOKUP(A28,'Inputs - Part 2'!$O$8:$O$63,'Inputs - Part 2'!$O$8:$O$63,FALSE)</f>
        <v>MEL (West Wind) Limited</v>
      </c>
    </row>
    <row r="29" spans="1:9" x14ac:dyDescent="0.2">
      <c r="A29" s="5" t="s">
        <v>103</v>
      </c>
      <c r="B29" s="5" t="s">
        <v>104</v>
      </c>
      <c r="C29" s="5" t="s">
        <v>41</v>
      </c>
      <c r="D29" s="23">
        <f>_xlfn.XLOOKUP($B29,'Inputs - Part 1'!$B$17:$B$66,'Inputs - Part 1'!$C$17:$C$66,FALSE)</f>
        <v>32624.263617048135</v>
      </c>
      <c r="E29" s="13">
        <f>'Calculations - Part 1'!E27</f>
        <v>75031190.410000101</v>
      </c>
      <c r="F29" s="32">
        <f>_xlfn.XLOOKUP(A29,'Inputs - Part 2'!$O$8:$O$57,'Inputs - Part 2'!$AE$8:$AE$57,FALSE)</f>
        <v>91140500</v>
      </c>
      <c r="G29" s="51">
        <f t="shared" si="0"/>
        <v>1.2147015061599351</v>
      </c>
      <c r="H29" s="24"/>
      <c r="I29" t="str">
        <f>_xlfn.XLOOKUP(A29,'Inputs - Part 2'!$O$8:$O$63,'Inputs - Part 2'!$O$8:$O$63,FALSE)</f>
        <v>Mercury NZ Limited</v>
      </c>
    </row>
    <row r="30" spans="1:9" x14ac:dyDescent="0.2">
      <c r="A30" s="5" t="s">
        <v>105</v>
      </c>
      <c r="B30" s="5" t="s">
        <v>106</v>
      </c>
      <c r="C30" s="5" t="s">
        <v>41</v>
      </c>
      <c r="D30" s="23">
        <f>_xlfn.XLOOKUP($B30,'Inputs - Part 1'!$B$17:$B$66,'Inputs - Part 1'!$C$17:$C$66,FALSE)</f>
        <v>0</v>
      </c>
      <c r="E30" s="13">
        <f>'Calculations - Part 1'!E28</f>
        <v>0</v>
      </c>
      <c r="F30" s="32">
        <f>_xlfn.XLOOKUP(A30,'Inputs - Part 2'!$O$8:$O$57,'Inputs - Part 2'!$AE$8:$AE$57,FALSE)</f>
        <v>0</v>
      </c>
      <c r="G30" s="51" t="str">
        <f t="shared" si="0"/>
        <v/>
      </c>
      <c r="H30" s="24"/>
      <c r="I30" t="str">
        <f>_xlfn.XLOOKUP(A30,'Inputs - Part 2'!$O$8:$O$63,'Inputs - Part 2'!$O$8:$O$63,FALSE)</f>
        <v>Mercury SPV Limited</v>
      </c>
    </row>
    <row r="31" spans="1:9" x14ac:dyDescent="0.2">
      <c r="A31" s="5" t="s">
        <v>107</v>
      </c>
      <c r="B31" s="5" t="s">
        <v>108</v>
      </c>
      <c r="C31" s="5" t="s">
        <v>41</v>
      </c>
      <c r="D31" s="23">
        <f>_xlfn.XLOOKUP($B31,'Inputs - Part 1'!$B$17:$B$66,'Inputs - Part 1'!$C$17:$C$66,FALSE)</f>
        <v>25919.91804381608</v>
      </c>
      <c r="E31" s="13">
        <f>'Calculations - Part 1'!E29</f>
        <v>9132302.0716800466</v>
      </c>
      <c r="F31" s="32">
        <f>_xlfn.XLOOKUP(A31,'Inputs - Part 2'!$O$8:$O$57,'Inputs - Part 2'!$AE$8:$AE$57,FALSE)</f>
        <v>8235835.3250000002</v>
      </c>
      <c r="G31" s="51">
        <f t="shared" si="0"/>
        <v>0.90183562264546013</v>
      </c>
      <c r="H31" s="24"/>
      <c r="I31" t="str">
        <f>_xlfn.XLOOKUP(A31,'Inputs - Part 2'!$O$8:$O$63,'Inputs - Part 2'!$O$8:$O$63,FALSE)</f>
        <v>Meridian Energy Limited</v>
      </c>
    </row>
    <row r="32" spans="1:9" x14ac:dyDescent="0.2">
      <c r="A32" s="5" t="s">
        <v>109</v>
      </c>
      <c r="B32" s="5" t="s">
        <v>110</v>
      </c>
      <c r="C32" s="5" t="s">
        <v>70</v>
      </c>
      <c r="D32" s="23">
        <f>_xlfn.XLOOKUP($B32,'Inputs - Part 1'!$B$17:$B$66,'Inputs - Part 1'!$C$17:$C$66,FALSE)</f>
        <v>9097.3828759627377</v>
      </c>
      <c r="E32" s="13">
        <f>'Calculations - Part 1'!E30</f>
        <v>49952259.571524277</v>
      </c>
      <c r="F32" s="32">
        <f>_xlfn.XLOOKUP(A32,'Inputs - Part 2'!$O$8:$O$57,'Inputs - Part 2'!$AE$8:$AE$57,FALSE)</f>
        <v>49297137</v>
      </c>
      <c r="G32" s="51">
        <f t="shared" si="0"/>
        <v>0.9868850262802179</v>
      </c>
      <c r="H32" s="24"/>
      <c r="I32" t="str">
        <f>_xlfn.XLOOKUP(A32,'Inputs - Part 2'!$O$8:$O$63,'Inputs - Part 2'!$O$8:$O$63,FALSE)</f>
        <v>Methanex New Zealand Ltd</v>
      </c>
    </row>
    <row r="33" spans="1:9" x14ac:dyDescent="0.2">
      <c r="A33" s="5" t="s">
        <v>111</v>
      </c>
      <c r="B33" s="5" t="s">
        <v>112</v>
      </c>
      <c r="C33" s="5" t="s">
        <v>65</v>
      </c>
      <c r="D33" s="23">
        <f>_xlfn.XLOOKUP($B33,'Inputs - Part 1'!$B$17:$B$66,'Inputs - Part 1'!$C$17:$C$66,FALSE)</f>
        <v>13985.082556978485</v>
      </c>
      <c r="E33" s="13">
        <f>'Calculations - Part 1'!E31</f>
        <v>52070375.561945967</v>
      </c>
      <c r="F33" s="32">
        <f>_xlfn.XLOOKUP(A33,'Inputs - Part 2'!$O$8:$O$57,'Inputs - Part 2'!$AE$8:$AE$57,FALSE)</f>
        <v>50650826</v>
      </c>
      <c r="G33" s="51">
        <f t="shared" si="0"/>
        <v>0.9727378658858109</v>
      </c>
      <c r="H33" s="24"/>
      <c r="I33" t="str">
        <f>_xlfn.XLOOKUP(A33,'Inputs - Part 2'!$O$8:$O$63,'Inputs - Part 2'!$O$8:$O$63,FALSE)</f>
        <v>Nelson Electricity Ltd</v>
      </c>
    </row>
    <row r="34" spans="1:9" x14ac:dyDescent="0.2">
      <c r="A34" s="5" t="s">
        <v>113</v>
      </c>
      <c r="B34" s="5" t="s">
        <v>114</v>
      </c>
      <c r="C34" s="5" t="s">
        <v>65</v>
      </c>
      <c r="D34" s="23">
        <f>_xlfn.XLOOKUP($B34,'Inputs - Part 1'!$B$17:$B$66,'Inputs - Part 1'!$C$17:$C$66,FALSE)</f>
        <v>146735.12206666113</v>
      </c>
      <c r="E34" s="13">
        <f>'Calculations - Part 1'!E32</f>
        <v>750881543.53701854</v>
      </c>
      <c r="F34" s="32">
        <f>_xlfn.XLOOKUP(A34,'Inputs - Part 2'!$O$8:$O$57,'Inputs - Part 2'!$AE$8:$AE$57,FALSE)</f>
        <v>765419525</v>
      </c>
      <c r="G34" s="51">
        <f t="shared" si="0"/>
        <v>1.0193612182748566</v>
      </c>
      <c r="H34" s="24"/>
      <c r="I34" t="str">
        <f>_xlfn.XLOOKUP(A34,'Inputs - Part 2'!$O$8:$O$63,'Inputs - Part 2'!$O$8:$O$63,FALSE)</f>
        <v>Network Tasman Limited</v>
      </c>
    </row>
    <row r="35" spans="1:9" x14ac:dyDescent="0.2">
      <c r="A35" s="5" t="s">
        <v>115</v>
      </c>
      <c r="B35" s="5" t="s">
        <v>116</v>
      </c>
      <c r="C35" s="5" t="s">
        <v>65</v>
      </c>
      <c r="D35" s="23">
        <f>_xlfn.XLOOKUP($B35,'Inputs - Part 1'!$B$17:$B$66,'Inputs - Part 1'!$C$17:$C$66,FALSE)</f>
        <v>63713.974785909304</v>
      </c>
      <c r="E35" s="13">
        <f>'Calculations - Part 1'!E33</f>
        <v>262476171.51507396</v>
      </c>
      <c r="F35" s="32">
        <f>_xlfn.XLOOKUP(A35,'Inputs - Part 2'!$O$8:$O$57,'Inputs - Part 2'!$AE$8:$AE$57,FALSE)</f>
        <v>275183025</v>
      </c>
      <c r="G35" s="51">
        <f t="shared" si="0"/>
        <v>1.0484114554535717</v>
      </c>
      <c r="H35" s="24"/>
      <c r="I35" t="str">
        <f>_xlfn.XLOOKUP(A35,'Inputs - Part 2'!$O$8:$O$63,'Inputs - Part 2'!$O$8:$O$63,FALSE)</f>
        <v>Network Waitaki Limited</v>
      </c>
    </row>
    <row r="36" spans="1:9" x14ac:dyDescent="0.2">
      <c r="A36" s="5" t="s">
        <v>117</v>
      </c>
      <c r="B36" s="5" t="s">
        <v>118</v>
      </c>
      <c r="C36" s="5" t="s">
        <v>70</v>
      </c>
      <c r="D36" s="23">
        <f>_xlfn.XLOOKUP($B36,'Inputs - Part 1'!$B$17:$B$66,'Inputs - Part 1'!$C$17:$C$66,FALSE)</f>
        <v>158650.53629707327</v>
      </c>
      <c r="E36" s="13">
        <f>'Calculations - Part 1'!E34</f>
        <v>1082038483.1904964</v>
      </c>
      <c r="F36" s="32">
        <f>_xlfn.XLOOKUP(A36,'Inputs - Part 2'!$O$8:$O$57,'Inputs - Part 2'!$AE$8:$AE$57,FALSE)</f>
        <v>1075079450</v>
      </c>
      <c r="G36" s="51">
        <f t="shared" si="0"/>
        <v>0.99356858993593555</v>
      </c>
      <c r="H36" s="24"/>
      <c r="I36" t="str">
        <f>_xlfn.XLOOKUP(A36,'Inputs - Part 2'!$O$8:$O$63,'Inputs - Part 2'!$O$8:$O$63,FALSE)</f>
        <v>New Zealand Steel Limited</v>
      </c>
    </row>
    <row r="37" spans="1:9" x14ac:dyDescent="0.2">
      <c r="A37" s="5" t="s">
        <v>119</v>
      </c>
      <c r="B37" s="5" t="s">
        <v>120</v>
      </c>
      <c r="C37" s="5" t="s">
        <v>41</v>
      </c>
      <c r="D37" s="23">
        <f>_xlfn.XLOOKUP($B37,'Inputs - Part 1'!$B$17:$B$66,'Inputs - Part 1'!$C$17:$C$66,FALSE)</f>
        <v>5269.1982148891302</v>
      </c>
      <c r="E37" s="13">
        <f>'Calculations - Part 1'!E35</f>
        <v>106052.5</v>
      </c>
      <c r="F37" s="32">
        <f>_xlfn.XLOOKUP(A37,'Inputs - Part 2'!$O$8:$O$57,'Inputs - Part 2'!$AE$8:$AE$57,FALSE)</f>
        <v>110555.25</v>
      </c>
      <c r="G37" s="51">
        <f t="shared" si="0"/>
        <v>1.0424577449847954</v>
      </c>
      <c r="H37" s="24"/>
      <c r="I37" t="str">
        <f>_xlfn.XLOOKUP(A37,'Inputs - Part 2'!$O$8:$O$63,'Inputs - Part 2'!$O$8:$O$63,FALSE)</f>
        <v>Nga Awa Purua Joint Venture</v>
      </c>
    </row>
    <row r="38" spans="1:9" x14ac:dyDescent="0.2">
      <c r="A38" s="5" t="s">
        <v>121</v>
      </c>
      <c r="B38" s="5" t="s">
        <v>122</v>
      </c>
      <c r="C38" s="5" t="s">
        <v>41</v>
      </c>
      <c r="D38" s="23">
        <f>_xlfn.XLOOKUP($B38,'Inputs - Part 1'!$B$17:$B$66,'Inputs - Part 1'!$C$17:$C$66,FALSE)</f>
        <v>1604.1009888491478</v>
      </c>
      <c r="E38" s="13">
        <f>'Calculations - Part 1'!E36</f>
        <v>6311.5</v>
      </c>
      <c r="F38" s="32">
        <f>_xlfn.XLOOKUP(A38,'Inputs - Part 2'!$O$8:$O$57,'Inputs - Part 2'!$AE$8:$AE$57,FALSE)</f>
        <v>0</v>
      </c>
      <c r="G38" s="51">
        <f t="shared" si="0"/>
        <v>0</v>
      </c>
      <c r="H38" s="24"/>
      <c r="I38" t="str">
        <f>_xlfn.XLOOKUP(A38,'Inputs - Part 2'!$O$8:$O$63,'Inputs - Part 2'!$O$8:$O$63,FALSE)</f>
        <v>Ngatamariki Geothermal Ltd</v>
      </c>
    </row>
    <row r="39" spans="1:9" x14ac:dyDescent="0.2">
      <c r="A39" s="5" t="s">
        <v>123</v>
      </c>
      <c r="B39" s="5" t="s">
        <v>124</v>
      </c>
      <c r="C39" s="5" t="s">
        <v>65</v>
      </c>
      <c r="D39" s="48">
        <f>_xlfn.XLOOKUP($B39,'Inputs - Part 1'!$B$17:$B$66,'Inputs - Part 1'!$C$17:$C$66,FALSE)</f>
        <v>181183.41683885281</v>
      </c>
      <c r="E39" s="13">
        <f>'Calculations - Part 1'!E37</f>
        <v>1105249290.3755393</v>
      </c>
      <c r="F39" s="32">
        <f>_xlfn.XLOOKUP(A39,'Inputs - Part 2'!$O$8:$O$57,'Inputs - Part 2'!$AE$8:$AE$57,FALSE)</f>
        <v>1066367925</v>
      </c>
      <c r="G39" s="51">
        <f t="shared" si="0"/>
        <v>0.96482118042136156</v>
      </c>
      <c r="H39" s="24"/>
      <c r="I39" t="str">
        <f>_xlfn.XLOOKUP(A39,'Inputs - Part 2'!$O$8:$O$63,'Inputs - Part 2'!$O$8:$O$63,FALSE)</f>
        <v>Northpower Limited</v>
      </c>
    </row>
    <row r="40" spans="1:9" x14ac:dyDescent="0.2">
      <c r="A40" s="5" t="s">
        <v>125</v>
      </c>
      <c r="B40" s="5" t="s">
        <v>126</v>
      </c>
      <c r="C40" s="5" t="s">
        <v>41</v>
      </c>
      <c r="D40" s="23">
        <f>_xlfn.XLOOKUP($B40,'Inputs - Part 1'!$B$17:$B$66,'Inputs - Part 1'!$C$17:$C$66,FALSE)</f>
        <v>8136.5594275996527</v>
      </c>
      <c r="E40" s="13">
        <f>'Calculations - Part 1'!E38</f>
        <v>48088472.146270871</v>
      </c>
      <c r="F40" s="32">
        <f>_xlfn.XLOOKUP(A40,'Inputs - Part 2'!$O$8:$O$57,'Inputs - Part 2'!$AE$8:$AE$57,FALSE)</f>
        <v>36176083</v>
      </c>
      <c r="G40" s="51">
        <f t="shared" si="0"/>
        <v>0.75228181277964257</v>
      </c>
      <c r="H40" s="24"/>
      <c r="I40" t="str">
        <f>_xlfn.XLOOKUP(A40,'Inputs - Part 2'!$O$8:$O$63,'Inputs - Part 2'!$O$8:$O$63,FALSE)</f>
        <v>Nova Energy Limited</v>
      </c>
    </row>
    <row r="41" spans="1:9" x14ac:dyDescent="0.2">
      <c r="A41" s="5" t="s">
        <v>127</v>
      </c>
      <c r="B41" s="5" t="s">
        <v>128</v>
      </c>
      <c r="C41" s="5" t="s">
        <v>70</v>
      </c>
      <c r="D41" s="23">
        <f>_xlfn.XLOOKUP($B41,'Inputs - Part 1'!$B$17:$B$66,'Inputs - Part 1'!$C$17:$C$66,FALSE)</f>
        <v>590088.20641807234</v>
      </c>
      <c r="E41" s="13">
        <f>'Calculations - Part 1'!E39</f>
        <v>5064546057.4357309</v>
      </c>
      <c r="F41" s="32">
        <f>_xlfn.XLOOKUP(A41,'Inputs - Part 2'!$O$8:$O$57,'Inputs - Part 2'!$AE$8:$AE$57,FALSE)</f>
        <v>5062781774.999999</v>
      </c>
      <c r="G41" s="51">
        <f t="shared" si="0"/>
        <v>0.99965164055855671</v>
      </c>
      <c r="H41" s="24"/>
      <c r="I41" t="str">
        <f>_xlfn.XLOOKUP(A41,'Inputs - Part 2'!$O$8:$O$63,'Inputs - Part 2'!$O$8:$O$63,FALSE)</f>
        <v>NZ Aluminium Smelters Limited</v>
      </c>
    </row>
    <row r="42" spans="1:9" x14ac:dyDescent="0.2">
      <c r="A42" s="5" t="s">
        <v>129</v>
      </c>
      <c r="B42" s="5" t="s">
        <v>130</v>
      </c>
      <c r="C42" s="5" t="s">
        <v>70</v>
      </c>
      <c r="D42" s="23"/>
      <c r="E42" s="13"/>
      <c r="F42" s="32">
        <f>_xlfn.XLOOKUP(A42,'Inputs - Part 2'!$O$8:$O$57,'Inputs - Part 2'!$AE$8:$AE$57,FALSE)</f>
        <v>0</v>
      </c>
      <c r="G42" s="51"/>
      <c r="H42" s="24"/>
      <c r="I42" t="str">
        <f>_xlfn.XLOOKUP(A42,'Inputs - Part 2'!$O$8:$O$63,'Inputs - Part 2'!$O$8:$O$63,FALSE)</f>
        <v>OMV New Zealand Limited</v>
      </c>
    </row>
    <row r="43" spans="1:9" x14ac:dyDescent="0.2">
      <c r="A43" s="5" t="s">
        <v>131</v>
      </c>
      <c r="B43" s="5" t="s">
        <v>132</v>
      </c>
      <c r="C43" s="5" t="s">
        <v>65</v>
      </c>
      <c r="D43" s="23">
        <f>_xlfn.XLOOKUP($B43,'Inputs - Part 1'!$B$17:$B$66,'Inputs - Part 1'!$C$17:$C$66,FALSE)</f>
        <v>753103.09838564193</v>
      </c>
      <c r="E43" s="13">
        <f>'Calculations - Part 1'!E41</f>
        <v>3297306964.1578093</v>
      </c>
      <c r="F43" s="32">
        <f>_xlfn.XLOOKUP(A43,'Inputs - Part 2'!$O$8:$O$57,'Inputs - Part 2'!$AE$8:$AE$57,FALSE)</f>
        <v>3387383925</v>
      </c>
      <c r="G43" s="51">
        <f t="shared" si="0"/>
        <v>1.027318342459874</v>
      </c>
      <c r="H43" s="24"/>
      <c r="I43" t="str">
        <f>_xlfn.XLOOKUP(A43,'Inputs - Part 2'!$O$8:$O$63,'Inputs - Part 2'!$O$8:$O$63,FALSE)</f>
        <v>Orion New Zealand Limited</v>
      </c>
    </row>
    <row r="44" spans="1:9" x14ac:dyDescent="0.2">
      <c r="A44" s="5" t="s">
        <v>133</v>
      </c>
      <c r="B44" s="5" t="s">
        <v>134</v>
      </c>
      <c r="C44" s="5" t="s">
        <v>70</v>
      </c>
      <c r="D44" s="23">
        <f>_xlfn.XLOOKUP($B44,'Inputs - Part 1'!$B$17:$B$66,'Inputs - Part 1'!$C$17:$C$66,FALSE)</f>
        <v>77722.941824362075</v>
      </c>
      <c r="E44" s="13">
        <f>'Calculations - Part 1'!E42</f>
        <v>513137202.17796659</v>
      </c>
      <c r="F44" s="32">
        <f>_xlfn.XLOOKUP(A44,'Inputs - Part 2'!$O$8:$O$57,'Inputs - Part 2'!$AE$8:$AE$57,FALSE)</f>
        <v>109337258.74999999</v>
      </c>
      <c r="G44" s="51">
        <f t="shared" si="0"/>
        <v>0.21307607066088255</v>
      </c>
      <c r="H44" s="24"/>
      <c r="I44" t="str">
        <f>_xlfn.XLOOKUP(A44,'Inputs - Part 2'!$O$8:$O$63,'Inputs - Part 2'!$O$8:$O$63,FALSE)</f>
        <v>Pan Pac Forest Product Limited</v>
      </c>
    </row>
    <row r="45" spans="1:9" x14ac:dyDescent="0.2">
      <c r="A45" s="5" t="s">
        <v>135</v>
      </c>
      <c r="B45" s="5" t="s">
        <v>136</v>
      </c>
      <c r="C45" s="5" t="s">
        <v>65</v>
      </c>
      <c r="D45" s="23">
        <f>_xlfn.XLOOKUP($B45,'Inputs - Part 1'!$B$17:$B$66,'Inputs - Part 1'!$C$17:$C$66,FALSE)</f>
        <v>1039696.5156458596</v>
      </c>
      <c r="E45" s="13">
        <f>'Calculations - Part 1'!E43</f>
        <v>5104311661.5706635</v>
      </c>
      <c r="F45" s="32">
        <f>_xlfn.XLOOKUP(A45,'Inputs - Part 2'!$O$8:$O$57,'Inputs - Part 2'!$AE$8:$AE$57,FALSE)</f>
        <v>5192775075</v>
      </c>
      <c r="G45" s="51">
        <f t="shared" si="0"/>
        <v>1.0173311152011661</v>
      </c>
      <c r="H45" s="24"/>
      <c r="I45" t="str">
        <f>_xlfn.XLOOKUP(A45,'Inputs - Part 2'!$O$8:$O$63,'Inputs - Part 2'!$O$8:$O$63,FALSE)</f>
        <v>Powerco Limited</v>
      </c>
    </row>
    <row r="46" spans="1:9" ht="13.5" customHeight="1" x14ac:dyDescent="0.2">
      <c r="A46" s="5" t="s">
        <v>137</v>
      </c>
      <c r="B46" s="5" t="s">
        <v>138</v>
      </c>
      <c r="C46" s="5" t="s">
        <v>65</v>
      </c>
      <c r="D46" s="23">
        <f>_xlfn.XLOOKUP($B46,'Inputs - Part 1'!$B$17:$B$66,'Inputs - Part 1'!$C$17:$C$66,FALSE)</f>
        <v>281388.86864575557</v>
      </c>
      <c r="E46" s="13">
        <f>'Calculations - Part 1'!E44</f>
        <v>1487246910.1275415</v>
      </c>
      <c r="F46" s="32">
        <f>_xlfn.XLOOKUP(A46,'Inputs - Part 2'!$O$8:$O$57,'Inputs - Part 2'!$AE$8:$AE$57,FALSE)</f>
        <v>1539124548</v>
      </c>
      <c r="G46" s="51">
        <f t="shared" si="0"/>
        <v>1.0348816578600319</v>
      </c>
      <c r="H46" s="24"/>
      <c r="I46" t="str">
        <f>_xlfn.XLOOKUP(A46,'Inputs - Part 2'!$O$8:$O$63,'Inputs - Part 2'!$O$8:$O$63,FALSE)</f>
        <v>Powernet Ltd</v>
      </c>
    </row>
    <row r="47" spans="1:9" x14ac:dyDescent="0.2">
      <c r="A47" s="5" t="s">
        <v>139</v>
      </c>
      <c r="B47" s="5" t="s">
        <v>140</v>
      </c>
      <c r="C47" s="5" t="s">
        <v>65</v>
      </c>
      <c r="D47" s="23">
        <f>_xlfn.XLOOKUP($B47,'Inputs - Part 1'!$B$17:$B$66,'Inputs - Part 1'!$C$17:$C$66,FALSE)</f>
        <v>15135.880246118526</v>
      </c>
      <c r="E47" s="13">
        <f>'Calculations - Part 1'!E45</f>
        <v>82572117.083435386</v>
      </c>
      <c r="F47" s="32">
        <f>_xlfn.XLOOKUP(A47,'Inputs - Part 2'!$O$8:$O$57,'Inputs - Part 2'!$AE$8:$AE$57,FALSE)</f>
        <v>83009217.25</v>
      </c>
      <c r="G47" s="51">
        <f t="shared" si="0"/>
        <v>1.0052935564934462</v>
      </c>
      <c r="H47" s="24"/>
      <c r="I47" t="str">
        <f>_xlfn.XLOOKUP(A47,'Inputs - Part 2'!$O$8:$O$63,'Inputs - Part 2'!$O$8:$O$63,FALSE)</f>
        <v>Scanpower Limited</v>
      </c>
    </row>
    <row r="48" spans="1:9" x14ac:dyDescent="0.2">
      <c r="A48" s="5" t="s">
        <v>141</v>
      </c>
      <c r="B48" s="5" t="s">
        <v>142</v>
      </c>
      <c r="C48" s="5" t="s">
        <v>70</v>
      </c>
      <c r="D48" s="23">
        <f>_xlfn.XLOOKUP($B48,'Inputs - Part 1'!$B$17:$B$66,'Inputs - Part 1'!$C$17:$C$66,FALSE)</f>
        <v>171.3906571810225</v>
      </c>
      <c r="E48" s="13">
        <f>'Calculations - Part 1'!E46</f>
        <v>461368.45735014166</v>
      </c>
      <c r="F48" s="32">
        <f>_xlfn.XLOOKUP(A48,'Inputs - Part 2'!$O$8:$O$57,'Inputs - Part 2'!$AE$8:$AE$57,FALSE)</f>
        <v>461864.255</v>
      </c>
      <c r="G48" s="51">
        <f t="shared" si="0"/>
        <v>1.0010746240709778</v>
      </c>
      <c r="H48" s="24"/>
      <c r="I48" t="str">
        <f>_xlfn.XLOOKUP(A48,'Inputs - Part 2'!$O$8:$O$63,'Inputs - Part 2'!$O$8:$O$63,FALSE)</f>
        <v>Southpark Utilities Limited</v>
      </c>
    </row>
    <row r="49" spans="1:9" x14ac:dyDescent="0.2">
      <c r="A49" s="5" t="s">
        <v>143</v>
      </c>
      <c r="B49" s="5" t="s">
        <v>144</v>
      </c>
      <c r="C49" s="5" t="s">
        <v>41</v>
      </c>
      <c r="D49" s="23">
        <f>_xlfn.XLOOKUP($B49,'Inputs - Part 1'!$B$17:$B$66,'Inputs - Part 1'!$C$17:$C$66,FALSE)</f>
        <v>1106.7177013531639</v>
      </c>
      <c r="E49" s="13">
        <f>'Calculations - Part 1'!E47</f>
        <v>569775.37250000087</v>
      </c>
      <c r="F49" s="32">
        <f>_xlfn.XLOOKUP(A49,'Inputs - Part 2'!$O$8:$O$57,'Inputs - Part 2'!$AE$8:$AE$57,FALSE)</f>
        <v>0</v>
      </c>
      <c r="G49" s="51">
        <f t="shared" si="0"/>
        <v>0</v>
      </c>
      <c r="H49" s="24"/>
      <c r="I49" t="str">
        <f>_xlfn.XLOOKUP(A49,'Inputs - Part 2'!$O$8:$O$63,'Inputs - Part 2'!$O$8:$O$63,FALSE)</f>
        <v>Tararua Wind Power</v>
      </c>
    </row>
    <row r="50" spans="1:9" x14ac:dyDescent="0.2">
      <c r="A50" s="5" t="s">
        <v>145</v>
      </c>
      <c r="B50" s="5" t="s">
        <v>146</v>
      </c>
      <c r="C50" s="5" t="s">
        <v>65</v>
      </c>
      <c r="D50" s="23">
        <f>_xlfn.XLOOKUP($B50,'Inputs - Part 1'!$B$17:$B$66,'Inputs - Part 1'!$C$17:$C$66,FALSE)</f>
        <v>77391.12728247937</v>
      </c>
      <c r="E50" s="13">
        <f>'Calculations - Part 1'!E48</f>
        <v>327526220.07543993</v>
      </c>
      <c r="F50" s="32">
        <f>_xlfn.XLOOKUP(A50,'Inputs - Part 2'!$O$8:$O$57,'Inputs - Part 2'!$AE$8:$AE$57,FALSE)</f>
        <v>316656965</v>
      </c>
      <c r="G50" s="51">
        <f t="shared" si="0"/>
        <v>0.96681409179107436</v>
      </c>
      <c r="H50" s="24"/>
      <c r="I50" t="str">
        <f>_xlfn.XLOOKUP(A50,'Inputs - Part 2'!$O$8:$O$63,'Inputs - Part 2'!$O$8:$O$63,FALSE)</f>
        <v>The Lines Company Ltd</v>
      </c>
    </row>
    <row r="51" spans="1:9" x14ac:dyDescent="0.2">
      <c r="A51" s="5" t="s">
        <v>147</v>
      </c>
      <c r="B51" s="5" t="s">
        <v>148</v>
      </c>
      <c r="C51" s="5" t="s">
        <v>65</v>
      </c>
      <c r="D51" s="23">
        <f>_xlfn.XLOOKUP($B51,'Inputs - Part 1'!$B$17:$B$66,'Inputs - Part 1'!$C$17:$C$66,FALSE)</f>
        <v>69781.30983537891</v>
      </c>
      <c r="E51" s="13">
        <f>'Calculations - Part 1'!E49</f>
        <v>358900599.67369318</v>
      </c>
      <c r="F51" s="32">
        <f>_xlfn.XLOOKUP(A51,'Inputs - Part 2'!$O$8:$O$57,'Inputs - Part 2'!$AE$8:$AE$57,FALSE)</f>
        <v>361953755</v>
      </c>
      <c r="G51" s="51">
        <f t="shared" si="0"/>
        <v>1.0085069663552602</v>
      </c>
      <c r="H51" s="24"/>
      <c r="I51" t="str">
        <f>_xlfn.XLOOKUP(A51,'Inputs - Part 2'!$O$8:$O$63,'Inputs - Part 2'!$O$8:$O$63,FALSE)</f>
        <v>Top Energy Ltd</v>
      </c>
    </row>
    <row r="52" spans="1:9" x14ac:dyDescent="0.2">
      <c r="A52" s="5" t="s">
        <v>149</v>
      </c>
      <c r="B52" s="5" t="s">
        <v>150</v>
      </c>
      <c r="C52" s="5" t="s">
        <v>65</v>
      </c>
      <c r="D52" s="23">
        <f>_xlfn.XLOOKUP($B52,'Inputs - Part 1'!$B$17:$B$66,'Inputs - Part 1'!$C$17:$C$66,FALSE)</f>
        <v>363353.34220980719</v>
      </c>
      <c r="E52" s="13">
        <f>'Calculations - Part 1'!E50</f>
        <v>1683135014.1326694</v>
      </c>
      <c r="F52" s="32">
        <f>_xlfn.XLOOKUP(A52,'Inputs - Part 2'!$O$8:$O$57,'Inputs - Part 2'!$AE$8:$AE$57,FALSE)</f>
        <v>1720956225</v>
      </c>
      <c r="G52" s="51">
        <f t="shared" si="0"/>
        <v>1.0224706934082886</v>
      </c>
      <c r="H52" s="24"/>
      <c r="I52" t="str">
        <f>_xlfn.XLOOKUP(A52,'Inputs - Part 2'!$O$8:$O$63,'Inputs - Part 2'!$O$8:$O$63,FALSE)</f>
        <v>Unison Networks Limited</v>
      </c>
    </row>
    <row r="53" spans="1:9" x14ac:dyDescent="0.2">
      <c r="A53" s="5" t="s">
        <v>151</v>
      </c>
      <c r="B53" s="5" t="s">
        <v>152</v>
      </c>
      <c r="C53" s="5" t="s">
        <v>65</v>
      </c>
      <c r="D53" s="23">
        <f>_xlfn.XLOOKUP($B53,'Inputs - Part 1'!$B$17:$B$66,'Inputs - Part 1'!$C$17:$C$66,FALSE)</f>
        <v>1989525.4872822496</v>
      </c>
      <c r="E53" s="13">
        <f>'Calculations - Part 1'!E51</f>
        <v>8711225124.9906826</v>
      </c>
      <c r="F53" s="32">
        <f>_xlfn.XLOOKUP(A53,'Inputs - Part 2'!$O$8:$O$57,'Inputs - Part 2'!$AE$8:$AE$57,FALSE)</f>
        <v>8679077400</v>
      </c>
      <c r="G53" s="51">
        <f t="shared" si="0"/>
        <v>0.99630962068716866</v>
      </c>
      <c r="H53" s="24"/>
      <c r="I53" t="str">
        <f>_xlfn.XLOOKUP(A53,'Inputs - Part 2'!$O$8:$O$63,'Inputs - Part 2'!$O$8:$O$63,FALSE)</f>
        <v>Vector Limited</v>
      </c>
    </row>
    <row r="54" spans="1:9" x14ac:dyDescent="0.2">
      <c r="A54" s="5" t="s">
        <v>153</v>
      </c>
      <c r="B54" s="5" t="s">
        <v>154</v>
      </c>
      <c r="C54" s="5" t="s">
        <v>65</v>
      </c>
      <c r="D54" s="23">
        <f>_xlfn.XLOOKUP($B54,'Inputs - Part 1'!$B$17:$B$66,'Inputs - Part 1'!$C$17:$C$66,FALSE)</f>
        <v>75496.882018862598</v>
      </c>
      <c r="E54" s="13">
        <f>'Calculations - Part 1'!E52</f>
        <v>403436515.48628306</v>
      </c>
      <c r="F54" s="32">
        <f>_xlfn.XLOOKUP(A54,'Inputs - Part 2'!$O$8:$O$57,'Inputs - Part 2'!$AE$8:$AE$57,FALSE)</f>
        <v>423394562.5</v>
      </c>
      <c r="G54" s="51">
        <f t="shared" si="0"/>
        <v>1.0494701055745053</v>
      </c>
      <c r="H54" s="24"/>
      <c r="I54" t="str">
        <f>_xlfn.XLOOKUP(A54,'Inputs - Part 2'!$O$8:$O$63,'Inputs - Part 2'!$O$8:$O$63,FALSE)</f>
        <v>Waipa Networks Limited</v>
      </c>
    </row>
    <row r="55" spans="1:9" x14ac:dyDescent="0.2">
      <c r="A55" s="5" t="s">
        <v>155</v>
      </c>
      <c r="B55" s="5" t="s">
        <v>156</v>
      </c>
      <c r="C55" s="5" t="s">
        <v>65</v>
      </c>
      <c r="D55" s="23">
        <f>_xlfn.XLOOKUP($B55,'Inputs - Part 1'!$B$17:$B$66,'Inputs - Part 1'!$C$17:$C$66,FALSE)</f>
        <v>294534.91870618955</v>
      </c>
      <c r="E55" s="13">
        <f>'Calculations - Part 1'!E53</f>
        <v>1372923347.3227673</v>
      </c>
      <c r="F55" s="32">
        <f>_xlfn.XLOOKUP(A55,'Inputs - Part 2'!$O$8:$O$57,'Inputs - Part 2'!$AE$8:$AE$57,FALSE)</f>
        <v>1334737750</v>
      </c>
      <c r="G55" s="51">
        <f t="shared" si="0"/>
        <v>0.97218665018900718</v>
      </c>
      <c r="H55" s="24"/>
      <c r="I55" t="str">
        <f>_xlfn.XLOOKUP(A55,'Inputs - Part 2'!$O$8:$O$63,'Inputs - Part 2'!$O$8:$O$63,FALSE)</f>
        <v>WEL Networks Limited</v>
      </c>
    </row>
    <row r="56" spans="1:9" x14ac:dyDescent="0.2">
      <c r="A56" s="5" t="s">
        <v>157</v>
      </c>
      <c r="B56" s="5" t="s">
        <v>158</v>
      </c>
      <c r="C56" s="5" t="s">
        <v>65</v>
      </c>
      <c r="D56" s="23">
        <f>_xlfn.XLOOKUP($B56,'Inputs - Part 1'!$B$17:$B$66,'Inputs - Part 1'!$C$17:$C$66,FALSE)</f>
        <v>567326.26667015301</v>
      </c>
      <c r="E56" s="13">
        <f>'Calculations - Part 1'!E54</f>
        <v>2433341039.9242315</v>
      </c>
      <c r="F56" s="32">
        <f>_xlfn.XLOOKUP(A56,'Inputs - Part 2'!$O$8:$O$57,'Inputs - Part 2'!$AE$8:$AE$57,FALSE)</f>
        <v>2391736975</v>
      </c>
      <c r="G56" s="51">
        <f t="shared" si="0"/>
        <v>0.98290249322161316</v>
      </c>
      <c r="H56" s="24"/>
      <c r="I56" t="str">
        <f>_xlfn.XLOOKUP(A56,'Inputs - Part 2'!$O$8:$O$63,'Inputs - Part 2'!$O$8:$O$63,FALSE)</f>
        <v>Wellington Electricity Lines Limited</v>
      </c>
    </row>
    <row r="57" spans="1:9" x14ac:dyDescent="0.2">
      <c r="A57" s="5" t="s">
        <v>159</v>
      </c>
      <c r="B57" s="5" t="s">
        <v>160</v>
      </c>
      <c r="C57" s="5" t="s">
        <v>65</v>
      </c>
      <c r="D57" s="23">
        <f>_xlfn.XLOOKUP($B57,'Inputs - Part 1'!$B$17:$B$66,'Inputs - Part 1'!$C$17:$C$66,FALSE)</f>
        <v>53379.873568187126</v>
      </c>
      <c r="E57" s="13">
        <f>'Calculations - Part 1'!E55</f>
        <v>252736413.31150568</v>
      </c>
      <c r="F57" s="32">
        <f>_xlfn.XLOOKUP(A57,'Inputs - Part 2'!$O$8:$O$57,'Inputs - Part 2'!$AE$8:$AE$57,FALSE)</f>
        <v>243388162.49999997</v>
      </c>
      <c r="G57" s="51">
        <f t="shared" si="0"/>
        <v>0.9630118561507649</v>
      </c>
      <c r="H57" s="24"/>
      <c r="I57" t="str">
        <f>_xlfn.XLOOKUP(A57,'Inputs - Part 2'!$O$8:$O$63,'Inputs - Part 2'!$O$8:$O$63,FALSE)</f>
        <v>Westpower Limited</v>
      </c>
    </row>
    <row r="58" spans="1:9" x14ac:dyDescent="0.2">
      <c r="A58" s="5" t="s">
        <v>161</v>
      </c>
      <c r="B58" s="5" t="s">
        <v>162</v>
      </c>
      <c r="C58" s="5" t="s">
        <v>70</v>
      </c>
      <c r="D58" s="23">
        <f>_xlfn.XLOOKUP($B58,'Inputs - Part 1'!$B$17:$B$66,'Inputs - Part 1'!$C$17:$C$66,FALSE)</f>
        <v>28990.393522306949</v>
      </c>
      <c r="E58" s="13">
        <f>'Calculations - Part 1'!E56</f>
        <v>159588579.0945825</v>
      </c>
      <c r="F58" s="32">
        <f>_xlfn.XLOOKUP(A58,'Inputs - Part 2'!$O$8:$O$57,'Inputs - Part 2'!$AE$8:$AE$57,FALSE)</f>
        <v>159588579.0945825</v>
      </c>
      <c r="G58" s="51">
        <f t="shared" ref="G58" si="1">IFERROR(F58/E58,"")</f>
        <v>1</v>
      </c>
      <c r="H58" s="24"/>
      <c r="I58" t="str">
        <f>_xlfn.XLOOKUP(A58,'Inputs - Part 2'!$O$8:$O$63,'Inputs - Part 2'!$O$8:$O$63,FALSE)</f>
        <v>Whareroa Cogeneration Limited</v>
      </c>
    </row>
    <row r="59" spans="1:9" x14ac:dyDescent="0.2">
      <c r="A59" s="5" t="s">
        <v>163</v>
      </c>
      <c r="B59" s="5" t="s">
        <v>164</v>
      </c>
      <c r="C59" s="5" t="s">
        <v>70</v>
      </c>
      <c r="D59" s="23">
        <f>_xlfn.XLOOKUP($B59,'Inputs - Part 1'!$B$17:$B$66,'Inputs - Part 1'!$C$17:$C$66,FALSE)</f>
        <v>36397.540102123574</v>
      </c>
      <c r="E59" s="13">
        <f>'Calculations - Part 1'!E57</f>
        <v>240503969.75198984</v>
      </c>
      <c r="F59" s="32">
        <f>_xlfn.XLOOKUP(A59,'Inputs - Part 2'!$O$8:$O$57,'Inputs - Part 2'!$AE$8:$AE$57,FALSE)</f>
        <v>223751539.99999997</v>
      </c>
      <c r="G59" s="51">
        <f t="shared" si="0"/>
        <v>0.93034447718569824</v>
      </c>
      <c r="H59" s="24"/>
      <c r="I59" t="str">
        <f>_xlfn.XLOOKUP(A59,'Inputs - Part 2'!$O$8:$O$63,'Inputs - Part 2'!$O$8:$O$63,FALSE)</f>
        <v>Winstone Pulp International</v>
      </c>
    </row>
    <row r="60" spans="1:9" x14ac:dyDescent="0.2">
      <c r="A60" s="5" t="s">
        <v>165</v>
      </c>
      <c r="B60" s="5" t="s">
        <v>166</v>
      </c>
      <c r="C60" s="5" t="s">
        <v>41</v>
      </c>
      <c r="D60" s="5"/>
      <c r="E60" s="5"/>
      <c r="F60" s="5"/>
      <c r="G60" s="5"/>
      <c r="H60" s="5"/>
      <c r="I60" t="str">
        <f>_xlfn.XLOOKUP(A60,'Inputs - Part 2'!$O$8:$O$63,'Inputs - Part 2'!$O$8:$O$63,FALSE)</f>
        <v>Kawerau Geothermal Limited</v>
      </c>
    </row>
    <row r="61" spans="1:9" x14ac:dyDescent="0.2">
      <c r="A61" s="5" t="s">
        <v>167</v>
      </c>
      <c r="B61" s="5" t="s">
        <v>168</v>
      </c>
      <c r="C61" s="5" t="s">
        <v>70</v>
      </c>
      <c r="D61" s="5"/>
      <c r="E61" s="5"/>
      <c r="F61" s="5"/>
      <c r="G61" s="5"/>
      <c r="H61" s="5"/>
      <c r="I61" t="str">
        <f>_xlfn.XLOOKUP(A61,'Inputs - Part 2'!$O$8:$O$63,'Inputs - Part 2'!$O$8:$O$63,FALSE)</f>
        <v>Oji Fibre Solutions (NZ) Ltd</v>
      </c>
    </row>
    <row r="62" spans="1:9" x14ac:dyDescent="0.2">
      <c r="A62" s="5" t="s">
        <v>169</v>
      </c>
      <c r="B62" s="5" t="s">
        <v>170</v>
      </c>
      <c r="C62" s="5" t="s">
        <v>41</v>
      </c>
      <c r="D62" s="5"/>
      <c r="E62" s="5"/>
      <c r="F62" s="5"/>
      <c r="G62" s="5"/>
      <c r="H62" s="5"/>
      <c r="I62" t="str">
        <f>_xlfn.XLOOKUP(A62,'Inputs - Part 2'!$O$8:$O$63,'Inputs - Part 2'!$O$8:$O$63,FALSE)</f>
        <v>Resolution Development Ltd</v>
      </c>
    </row>
    <row r="63" spans="1:9" x14ac:dyDescent="0.2">
      <c r="A63" s="5" t="s">
        <v>171</v>
      </c>
      <c r="B63" s="5" t="s">
        <v>172</v>
      </c>
      <c r="C63" s="5" t="s">
        <v>41</v>
      </c>
      <c r="D63" s="5"/>
      <c r="E63" s="5"/>
      <c r="F63" s="5"/>
      <c r="G63" s="5"/>
      <c r="H63" s="5"/>
      <c r="I63" t="str">
        <f>_xlfn.XLOOKUP(A63,'Inputs - Part 2'!$O$8:$O$63,'Inputs - Part 2'!$O$8:$O$63,FALSE)</f>
        <v>Southern Generation GP Limited</v>
      </c>
    </row>
    <row r="64" spans="1:9" x14ac:dyDescent="0.2">
      <c r="A64" s="5" t="s">
        <v>173</v>
      </c>
      <c r="B64" s="5" t="s">
        <v>174</v>
      </c>
      <c r="C64" s="5" t="s">
        <v>41</v>
      </c>
      <c r="D64" s="5"/>
      <c r="E64" s="5"/>
      <c r="F64" s="5"/>
      <c r="G64" s="5"/>
      <c r="H64" s="5"/>
      <c r="I64" t="str">
        <f>_xlfn.XLOOKUP(A64,'Inputs - Part 2'!$O$8:$O$63,'Inputs - Part 2'!$O$8:$O$63,FALSE)</f>
        <v>Waverley Windfarm Limited</v>
      </c>
    </row>
    <row r="65" spans="1:13" x14ac:dyDescent="0.2">
      <c r="A65" s="5" t="s">
        <v>103</v>
      </c>
      <c r="B65" s="5" t="s">
        <v>175</v>
      </c>
      <c r="C65" s="5" t="s">
        <v>41</v>
      </c>
      <c r="D65" s="5"/>
      <c r="E65" s="5"/>
      <c r="F65" s="5"/>
      <c r="G65" s="5"/>
      <c r="H65" s="5"/>
      <c r="I65" t="str">
        <f>_xlfn.XLOOKUP(A65,'Inputs - Part 2'!$O$8:$O$63,'Inputs - Part 2'!$O$8:$O$63,FALSE)</f>
        <v>Mercury NZ Limited</v>
      </c>
    </row>
    <row r="69" spans="1:13" x14ac:dyDescent="0.2">
      <c r="D69" s="52"/>
    </row>
    <row r="71" spans="1:13" ht="26.25" x14ac:dyDescent="0.4">
      <c r="A71" s="12" t="s">
        <v>600</v>
      </c>
    </row>
    <row r="74" spans="1:13" x14ac:dyDescent="0.2">
      <c r="B74" s="5" t="s">
        <v>177</v>
      </c>
      <c r="C74" s="23">
        <f>SUM(D10:D59)</f>
        <v>8331187.0914225243</v>
      </c>
    </row>
    <row r="75" spans="1:13" x14ac:dyDescent="0.2">
      <c r="B75" s="5" t="s">
        <v>179</v>
      </c>
      <c r="C75" s="23">
        <f>SUM(E10:E59)</f>
        <v>41008076408.529854</v>
      </c>
    </row>
    <row r="76" spans="1:13" x14ac:dyDescent="0.2">
      <c r="B76" s="5" t="s">
        <v>601</v>
      </c>
      <c r="C76" s="29">
        <f>C74/C75</f>
        <v>2.0315966563331906E-4</v>
      </c>
    </row>
    <row r="79" spans="1:13" x14ac:dyDescent="0.2">
      <c r="L79" s="63" t="str">
        <f>'Inputs - Part 1'!B7</f>
        <v>Residual Revenue (RR)</v>
      </c>
      <c r="M79" s="61">
        <f>'Inputs - Part 1'!C7</f>
        <v>454.31919972133693</v>
      </c>
    </row>
    <row r="80" spans="1:13" x14ac:dyDescent="0.2">
      <c r="L80" s="63" t="s">
        <v>181</v>
      </c>
      <c r="M80" s="25">
        <f>SUM(L85:L134)</f>
        <v>8307605.2934558149</v>
      </c>
    </row>
    <row r="81" spans="1:15" x14ac:dyDescent="0.2">
      <c r="L81" s="63" t="s">
        <v>60</v>
      </c>
      <c r="M81" s="60">
        <f>M79/M80*1000000</f>
        <v>54.687143126457833</v>
      </c>
    </row>
    <row r="82" spans="1:15" ht="20.25" x14ac:dyDescent="0.3">
      <c r="D82" s="47" t="s">
        <v>35</v>
      </c>
      <c r="F82" s="60">
        <f>'Inputs - Part 1'!$C$7/$E$144*1000000</f>
        <v>54.637925654980847</v>
      </c>
      <c r="I82" s="47" t="s">
        <v>183</v>
      </c>
    </row>
    <row r="83" spans="1:15" ht="30" customHeight="1" x14ac:dyDescent="0.25">
      <c r="D83" s="85"/>
      <c r="E83" s="4"/>
      <c r="I83" s="99" t="s">
        <v>186</v>
      </c>
      <c r="J83" s="4"/>
    </row>
    <row r="84" spans="1:15" ht="57" customHeight="1" x14ac:dyDescent="0.2">
      <c r="A84" s="21" t="str">
        <f t="shared" ref="A84:C103" si="2">A9</f>
        <v>Customer code</v>
      </c>
      <c r="B84" s="21" t="str">
        <f t="shared" si="2"/>
        <v>Customer name</v>
      </c>
      <c r="C84" s="21" t="str">
        <f t="shared" si="2"/>
        <v>Customer type</v>
      </c>
      <c r="D84" s="21" t="s">
        <v>187</v>
      </c>
      <c r="E84" s="21" t="s">
        <v>196</v>
      </c>
      <c r="F84" s="21" t="s">
        <v>189</v>
      </c>
      <c r="G84" s="21" t="s">
        <v>61</v>
      </c>
      <c r="I84" s="21" t="s">
        <v>190</v>
      </c>
      <c r="J84" s="21" t="s">
        <v>198</v>
      </c>
      <c r="K84" s="62" t="s">
        <v>191</v>
      </c>
      <c r="L84" s="62" t="s">
        <v>188</v>
      </c>
      <c r="M84" s="62" t="s">
        <v>60</v>
      </c>
      <c r="N84" s="62" t="s">
        <v>61</v>
      </c>
    </row>
    <row r="85" spans="1:15" x14ac:dyDescent="0.2">
      <c r="A85" s="27" t="str">
        <f t="shared" si="2"/>
        <v>Alpine Energy Ltd</v>
      </c>
      <c r="B85" s="27" t="str">
        <f t="shared" si="2"/>
        <v>ALPE</v>
      </c>
      <c r="C85" s="27" t="str">
        <f t="shared" si="2"/>
        <v>Lines Business</v>
      </c>
      <c r="D85" s="45">
        <f t="shared" ref="D85:D116" si="3">IFERROR(D10/E10,"")</f>
        <v>1.955668876135863E-4</v>
      </c>
      <c r="E85" s="25">
        <f t="shared" ref="E85:E116" si="4">IFERROR($D10+($F10-$E10)*$D85,"")</f>
        <v>161501.27724871895</v>
      </c>
      <c r="F85" s="25">
        <f>$F$82</f>
        <v>54.637925654980847</v>
      </c>
      <c r="G85" s="25">
        <f>IFERROR(F82*E85,"")</f>
        <v>8824094.7794999555</v>
      </c>
      <c r="H85" s="2"/>
      <c r="I85" s="45">
        <f t="shared" ref="I85:I116" si="5">$C$76</f>
        <v>2.0315966563331906E-4</v>
      </c>
      <c r="J85" s="25">
        <f t="shared" ref="J85:J116" si="6">IFERROR($D10+($F10-$E10)*$I85,"")</f>
        <v>161640.75043989654</v>
      </c>
      <c r="K85" s="60">
        <f t="shared" ref="K85:K116" si="7">IFERROR(F10/E10,"")</f>
        <v>1.022749865236702</v>
      </c>
      <c r="L85" s="25">
        <f>IF(K85&lt;1,E85,J85)</f>
        <v>161640.75043989654</v>
      </c>
      <c r="M85" s="60">
        <f t="shared" ref="M85:M116" si="8">$M$81</f>
        <v>54.687143126457833</v>
      </c>
      <c r="N85" s="25">
        <f>IF(K85&lt;1,E85*M85,J85*M85)</f>
        <v>8839670.8543746732</v>
      </c>
      <c r="O85" s="50"/>
    </row>
    <row r="86" spans="1:15" x14ac:dyDescent="0.2">
      <c r="A86" s="27" t="str">
        <f t="shared" si="2"/>
        <v>Aurora Energy Limited</v>
      </c>
      <c r="B86" s="27" t="str">
        <f t="shared" si="2"/>
        <v>DUNE</v>
      </c>
      <c r="C86" s="27" t="str">
        <f t="shared" si="2"/>
        <v>Lines Business</v>
      </c>
      <c r="D86" s="45">
        <f t="shared" si="3"/>
        <v>2.2509828069221987E-4</v>
      </c>
      <c r="E86" s="25">
        <f t="shared" si="4"/>
        <v>316384.22663978051</v>
      </c>
      <c r="F86" s="25">
        <f t="shared" ref="F86:F134" si="9">$F$82</f>
        <v>54.637925654980847</v>
      </c>
      <c r="G86" s="25">
        <f t="shared" ref="G86:G134" si="10">IFERROR(F86*E86,"")</f>
        <v>17286577.853552938</v>
      </c>
      <c r="H86" s="2"/>
      <c r="I86" s="45">
        <f t="shared" si="5"/>
        <v>2.0315966563331906E-4</v>
      </c>
      <c r="J86" s="25">
        <f t="shared" si="6"/>
        <v>316202.05711944791</v>
      </c>
      <c r="K86" s="60">
        <f t="shared" si="7"/>
        <v>1.005942883045106</v>
      </c>
      <c r="L86" s="25">
        <f t="shared" ref="L86:L134" si="11">IF(K86&lt;1,E86,J86)</f>
        <v>316202.05711944791</v>
      </c>
      <c r="M86" s="60">
        <f t="shared" si="8"/>
        <v>54.687143126457833</v>
      </c>
      <c r="N86" s="25">
        <f t="shared" ref="N86:N134" si="12">IF(K86&lt;1,E86*M86,J86*M86)</f>
        <v>17292187.154571645</v>
      </c>
      <c r="O86" s="50"/>
    </row>
    <row r="87" spans="1:15" x14ac:dyDescent="0.2">
      <c r="A87" s="27" t="str">
        <f t="shared" si="2"/>
        <v>Beach Energy Resources NZ (Holdings) Ltd</v>
      </c>
      <c r="B87" s="27" t="str">
        <f t="shared" si="2"/>
        <v>KUPE</v>
      </c>
      <c r="C87" s="27" t="str">
        <f t="shared" si="2"/>
        <v>Direct Connect</v>
      </c>
      <c r="D87" s="45">
        <f t="shared" si="3"/>
        <v>1.5232226038673486E-4</v>
      </c>
      <c r="E87" s="25">
        <f t="shared" si="4"/>
        <v>11310.287656974662</v>
      </c>
      <c r="F87" s="25">
        <f t="shared" si="9"/>
        <v>54.637925654980847</v>
      </c>
      <c r="G87" s="25">
        <f t="shared" si="10"/>
        <v>617970.65613822907</v>
      </c>
      <c r="H87" s="2"/>
      <c r="I87" s="45">
        <f t="shared" si="5"/>
        <v>2.0315966563331906E-4</v>
      </c>
      <c r="J87" s="25">
        <f t="shared" si="6"/>
        <v>12024.843050110398</v>
      </c>
      <c r="K87" s="60">
        <f t="shared" si="7"/>
        <v>1.2334963654759423</v>
      </c>
      <c r="L87" s="25">
        <f t="shared" si="11"/>
        <v>12024.843050110398</v>
      </c>
      <c r="M87" s="60">
        <f t="shared" si="8"/>
        <v>54.687143126457833</v>
      </c>
      <c r="N87" s="25">
        <f t="shared" si="12"/>
        <v>657604.31295457913</v>
      </c>
      <c r="O87" s="50"/>
    </row>
    <row r="88" spans="1:15" x14ac:dyDescent="0.2">
      <c r="A88" s="27" t="str">
        <f t="shared" si="2"/>
        <v>Buller Electricity Ltd</v>
      </c>
      <c r="B88" s="27" t="str">
        <f t="shared" si="2"/>
        <v>BUEL</v>
      </c>
      <c r="C88" s="27" t="str">
        <f t="shared" si="2"/>
        <v>Lines Business</v>
      </c>
      <c r="D88" s="45">
        <f t="shared" si="3"/>
        <v>1.9322431187833002E-4</v>
      </c>
      <c r="E88" s="25">
        <f t="shared" si="4"/>
        <v>10459.961085608797</v>
      </c>
      <c r="F88" s="25">
        <f t="shared" si="9"/>
        <v>54.637925654980847</v>
      </c>
      <c r="G88" s="25">
        <f t="shared" si="10"/>
        <v>571510.57614948624</v>
      </c>
      <c r="H88" s="2"/>
      <c r="I88" s="45">
        <f t="shared" si="5"/>
        <v>2.0315966563331906E-4</v>
      </c>
      <c r="J88" s="25">
        <f t="shared" si="6"/>
        <v>10352.116133325908</v>
      </c>
      <c r="K88" s="60">
        <f t="shared" si="7"/>
        <v>0.83297542452887829</v>
      </c>
      <c r="L88" s="25">
        <f t="shared" si="11"/>
        <v>10459.961085608797</v>
      </c>
      <c r="M88" s="60">
        <f t="shared" si="8"/>
        <v>54.687143126457833</v>
      </c>
      <c r="N88" s="25">
        <f t="shared" si="12"/>
        <v>572025.3889858675</v>
      </c>
      <c r="O88" s="50"/>
    </row>
    <row r="89" spans="1:15" x14ac:dyDescent="0.2">
      <c r="A89" s="27" t="str">
        <f t="shared" si="2"/>
        <v>Centralines Limited</v>
      </c>
      <c r="B89" s="27" t="str">
        <f t="shared" si="2"/>
        <v>CHBP</v>
      </c>
      <c r="C89" s="27" t="str">
        <f t="shared" si="2"/>
        <v>Lines Business</v>
      </c>
      <c r="D89" s="45">
        <f t="shared" si="3"/>
        <v>1.7550237575853747E-4</v>
      </c>
      <c r="E89" s="25">
        <f t="shared" si="4"/>
        <v>21003.265641532773</v>
      </c>
      <c r="F89" s="25">
        <f t="shared" si="9"/>
        <v>54.637925654980847</v>
      </c>
      <c r="G89" s="25">
        <f t="shared" si="10"/>
        <v>1147574.8666338813</v>
      </c>
      <c r="H89" s="2"/>
      <c r="I89" s="45">
        <f t="shared" si="5"/>
        <v>2.0315966563331906E-4</v>
      </c>
      <c r="J89" s="25">
        <f t="shared" si="6"/>
        <v>21098.156296372126</v>
      </c>
      <c r="K89" s="60">
        <f t="shared" si="7"/>
        <v>1.0295149921572893</v>
      </c>
      <c r="L89" s="25">
        <f t="shared" si="11"/>
        <v>21098.156296372126</v>
      </c>
      <c r="M89" s="60">
        <f t="shared" si="8"/>
        <v>54.687143126457833</v>
      </c>
      <c r="N89" s="25">
        <f t="shared" si="12"/>
        <v>1153797.89308408</v>
      </c>
      <c r="O89" s="50"/>
    </row>
    <row r="90" spans="1:15" x14ac:dyDescent="0.2">
      <c r="A90" s="27" t="str">
        <f t="shared" si="2"/>
        <v>Contact Energy Limited</v>
      </c>
      <c r="B90" s="27" t="str">
        <f t="shared" si="2"/>
        <v>CTCT</v>
      </c>
      <c r="C90" s="27" t="str">
        <f t="shared" si="2"/>
        <v>Generator</v>
      </c>
      <c r="D90" s="45">
        <f t="shared" si="3"/>
        <v>3.1813972959859565E-3</v>
      </c>
      <c r="E90" s="25">
        <f t="shared" si="4"/>
        <v>22885.63977813541</v>
      </c>
      <c r="F90" s="25">
        <f t="shared" si="9"/>
        <v>54.637925654980847</v>
      </c>
      <c r="G90" s="25">
        <f>IFERROR(F90*E90,"")</f>
        <v>1250423.884764435</v>
      </c>
      <c r="H90" s="2"/>
      <c r="I90" s="45">
        <f t="shared" si="5"/>
        <v>2.0315966563331906E-4</v>
      </c>
      <c r="J90" s="25">
        <f t="shared" si="6"/>
        <v>23859.941462259998</v>
      </c>
      <c r="K90" s="60">
        <f t="shared" si="7"/>
        <v>0.95650146831297889</v>
      </c>
      <c r="L90" s="25">
        <f t="shared" si="11"/>
        <v>22885.63977813541</v>
      </c>
      <c r="M90" s="60">
        <f t="shared" si="8"/>
        <v>54.687143126457833</v>
      </c>
      <c r="N90" s="25">
        <f t="shared" si="12"/>
        <v>1251550.2580874478</v>
      </c>
      <c r="O90" s="50"/>
    </row>
    <row r="91" spans="1:15" x14ac:dyDescent="0.2">
      <c r="A91" s="27" t="str">
        <f t="shared" si="2"/>
        <v>Counties Energy Ltd</v>
      </c>
      <c r="B91" s="27" t="str">
        <f t="shared" si="2"/>
        <v>COUP</v>
      </c>
      <c r="C91" s="27" t="str">
        <f t="shared" si="2"/>
        <v>Lines Business</v>
      </c>
      <c r="D91" s="45">
        <f t="shared" si="3"/>
        <v>2.1128264486284764E-4</v>
      </c>
      <c r="E91" s="25">
        <f t="shared" si="4"/>
        <v>139803.80554650447</v>
      </c>
      <c r="F91" s="25">
        <f t="shared" si="9"/>
        <v>54.637925654980847</v>
      </c>
      <c r="G91" s="25">
        <f t="shared" si="10"/>
        <v>7638589.9337333106</v>
      </c>
      <c r="H91" s="2"/>
      <c r="I91" s="45">
        <f t="shared" si="5"/>
        <v>2.0315966563331906E-4</v>
      </c>
      <c r="J91" s="25">
        <f t="shared" si="6"/>
        <v>139259.49874916548</v>
      </c>
      <c r="K91" s="60">
        <f t="shared" si="7"/>
        <v>1.112679044461623</v>
      </c>
      <c r="L91" s="25">
        <f t="shared" si="11"/>
        <v>139259.49874916548</v>
      </c>
      <c r="M91" s="60">
        <f t="shared" si="8"/>
        <v>54.687143126457833</v>
      </c>
      <c r="N91" s="25">
        <f t="shared" si="12"/>
        <v>7615704.139814388</v>
      </c>
      <c r="O91" s="50"/>
    </row>
    <row r="92" spans="1:15" x14ac:dyDescent="0.2">
      <c r="A92" s="27" t="str">
        <f t="shared" si="2"/>
        <v>Daiken Southland Limited</v>
      </c>
      <c r="B92" s="27" t="str">
        <f t="shared" si="2"/>
        <v>RAYN</v>
      </c>
      <c r="C92" s="27" t="str">
        <f t="shared" si="2"/>
        <v>Direct Connect</v>
      </c>
      <c r="D92" s="45">
        <f t="shared" si="3"/>
        <v>1.5906839890475862E-4</v>
      </c>
      <c r="E92" s="25">
        <f t="shared" si="4"/>
        <v>9201.5427007964699</v>
      </c>
      <c r="F92" s="25">
        <f t="shared" si="9"/>
        <v>54.637925654980847</v>
      </c>
      <c r="G92" s="25">
        <f t="shared" si="10"/>
        <v>502753.20599724923</v>
      </c>
      <c r="H92" s="2"/>
      <c r="I92" s="45">
        <f t="shared" si="5"/>
        <v>2.0315966563331906E-4</v>
      </c>
      <c r="J92" s="25">
        <f t="shared" si="6"/>
        <v>9198.3862871441434</v>
      </c>
      <c r="K92" s="60">
        <f t="shared" si="7"/>
        <v>0.99876397438863995</v>
      </c>
      <c r="L92" s="25">
        <f t="shared" si="11"/>
        <v>9201.5427007964699</v>
      </c>
      <c r="M92" s="60">
        <f t="shared" si="8"/>
        <v>54.687143126457833</v>
      </c>
      <c r="N92" s="25">
        <f t="shared" si="12"/>
        <v>503206.08266266994</v>
      </c>
      <c r="O92" s="50"/>
    </row>
    <row r="93" spans="1:15" x14ac:dyDescent="0.2">
      <c r="A93" s="27" t="str">
        <f t="shared" si="2"/>
        <v>EA Networks</v>
      </c>
      <c r="B93" s="27" t="str">
        <f t="shared" si="2"/>
        <v>EASH</v>
      </c>
      <c r="C93" s="27" t="str">
        <f t="shared" si="2"/>
        <v>Lines Business</v>
      </c>
      <c r="D93" s="45">
        <f t="shared" si="3"/>
        <v>2.7136846274916502E-4</v>
      </c>
      <c r="E93" s="25">
        <f t="shared" si="4"/>
        <v>166545.57045230415</v>
      </c>
      <c r="F93" s="25">
        <f t="shared" si="9"/>
        <v>54.637925654980847</v>
      </c>
      <c r="G93" s="25">
        <f t="shared" si="10"/>
        <v>9099704.4965393692</v>
      </c>
      <c r="H93" s="2"/>
      <c r="I93" s="45">
        <f t="shared" si="5"/>
        <v>2.0315966563331906E-4</v>
      </c>
      <c r="J93" s="25">
        <f t="shared" si="6"/>
        <v>165994.60324700625</v>
      </c>
      <c r="K93" s="60">
        <f t="shared" si="7"/>
        <v>1.013337230161069</v>
      </c>
      <c r="L93" s="25">
        <f t="shared" si="11"/>
        <v>165994.60324700625</v>
      </c>
      <c r="M93" s="60">
        <f t="shared" si="8"/>
        <v>54.687143126457833</v>
      </c>
      <c r="N93" s="25">
        <f t="shared" si="12"/>
        <v>9077770.6259886138</v>
      </c>
      <c r="O93" s="50"/>
    </row>
    <row r="94" spans="1:15" x14ac:dyDescent="0.2">
      <c r="A94" s="27" t="str">
        <f t="shared" si="2"/>
        <v>Electra Limited</v>
      </c>
      <c r="B94" s="27" t="str">
        <f t="shared" si="2"/>
        <v>HORO</v>
      </c>
      <c r="C94" s="27" t="str">
        <f t="shared" si="2"/>
        <v>Lines Business</v>
      </c>
      <c r="D94" s="45">
        <f t="shared" si="3"/>
        <v>2.5175487865869883E-4</v>
      </c>
      <c r="E94" s="25">
        <f t="shared" si="4"/>
        <v>114518.48893059569</v>
      </c>
      <c r="F94" s="25">
        <f t="shared" si="9"/>
        <v>54.637925654980847</v>
      </c>
      <c r="G94" s="25">
        <f t="shared" si="10"/>
        <v>6257052.6843106346</v>
      </c>
      <c r="H94" s="2"/>
      <c r="I94" s="45">
        <f t="shared" si="5"/>
        <v>2.0315966563331906E-4</v>
      </c>
      <c r="J94" s="25">
        <f t="shared" si="6"/>
        <v>113872.14492721799</v>
      </c>
      <c r="K94" s="60">
        <f t="shared" si="7"/>
        <v>1.0301203837724633</v>
      </c>
      <c r="L94" s="25">
        <f t="shared" si="11"/>
        <v>113872.14492721799</v>
      </c>
      <c r="M94" s="60">
        <f t="shared" si="8"/>
        <v>54.687143126457833</v>
      </c>
      <c r="N94" s="25">
        <f t="shared" si="12"/>
        <v>6227342.2877515191</v>
      </c>
      <c r="O94" s="50"/>
    </row>
    <row r="95" spans="1:15" x14ac:dyDescent="0.2">
      <c r="A95" s="27" t="str">
        <f t="shared" si="2"/>
        <v>Firstlight Network Limited</v>
      </c>
      <c r="B95" s="27" t="str">
        <f t="shared" si="2"/>
        <v>EAST</v>
      </c>
      <c r="C95" s="27" t="str">
        <f t="shared" si="2"/>
        <v>Lines Business</v>
      </c>
      <c r="D95" s="45">
        <f t="shared" si="3"/>
        <v>1.9687918503076728E-4</v>
      </c>
      <c r="E95" s="25">
        <f t="shared" si="4"/>
        <v>61327.995092950216</v>
      </c>
      <c r="F95" s="25">
        <f t="shared" si="9"/>
        <v>54.637925654980847</v>
      </c>
      <c r="G95" s="25">
        <f t="shared" si="10"/>
        <v>3350834.4364576442</v>
      </c>
      <c r="H95" s="2"/>
      <c r="I95" s="45">
        <f t="shared" si="5"/>
        <v>2.0315966563331906E-4</v>
      </c>
      <c r="J95" s="25">
        <f t="shared" si="6"/>
        <v>61359.88117066789</v>
      </c>
      <c r="K95" s="60">
        <f t="shared" si="7"/>
        <v>1.0165686052416769</v>
      </c>
      <c r="L95" s="25">
        <f t="shared" si="11"/>
        <v>61359.88117066789</v>
      </c>
      <c r="M95" s="60">
        <f t="shared" si="8"/>
        <v>54.687143126457833</v>
      </c>
      <c r="N95" s="25">
        <f t="shared" si="12"/>
        <v>3355596.6038027601</v>
      </c>
      <c r="O95" s="50"/>
    </row>
    <row r="96" spans="1:15" x14ac:dyDescent="0.2">
      <c r="A96" s="27" t="str">
        <f t="shared" si="2"/>
        <v>Genesis Energy Ltd</v>
      </c>
      <c r="B96" s="27" t="str">
        <f t="shared" si="2"/>
        <v>GENE</v>
      </c>
      <c r="C96" s="27" t="str">
        <f t="shared" si="2"/>
        <v>Generator</v>
      </c>
      <c r="D96" s="45">
        <f t="shared" si="3"/>
        <v>2.5577718825693279E-3</v>
      </c>
      <c r="E96" s="25">
        <f t="shared" si="4"/>
        <v>12910.275117616186</v>
      </c>
      <c r="F96" s="25">
        <f t="shared" si="9"/>
        <v>54.637925654980847</v>
      </c>
      <c r="G96" s="25">
        <f t="shared" si="10"/>
        <v>705390.65206166229</v>
      </c>
      <c r="H96" s="2"/>
      <c r="I96" s="45">
        <f t="shared" si="5"/>
        <v>2.0315966563331906E-4</v>
      </c>
      <c r="J96" s="25">
        <f t="shared" si="6"/>
        <v>12309.081069482856</v>
      </c>
      <c r="K96" s="60">
        <f t="shared" si="7"/>
        <v>1.0532801566977601</v>
      </c>
      <c r="L96" s="25">
        <f t="shared" si="11"/>
        <v>12309.081069482856</v>
      </c>
      <c r="M96" s="60">
        <f t="shared" si="8"/>
        <v>54.687143126457833</v>
      </c>
      <c r="N96" s="25">
        <f t="shared" si="12"/>
        <v>673148.47820198163</v>
      </c>
      <c r="O96" s="50"/>
    </row>
    <row r="97" spans="1:15" x14ac:dyDescent="0.2">
      <c r="A97" s="27" t="str">
        <f t="shared" si="2"/>
        <v>Horizon Energy Distribution Ltd</v>
      </c>
      <c r="B97" s="27" t="str">
        <f t="shared" si="2"/>
        <v>HRZE</v>
      </c>
      <c r="C97" s="27" t="str">
        <f t="shared" si="2"/>
        <v>Lines Business</v>
      </c>
      <c r="D97" s="45">
        <f t="shared" si="3"/>
        <v>1.808571529261597E-4</v>
      </c>
      <c r="E97" s="25">
        <f t="shared" si="4"/>
        <v>89257.76512932482</v>
      </c>
      <c r="F97" s="25">
        <f t="shared" si="9"/>
        <v>54.637925654980847</v>
      </c>
      <c r="G97" s="25">
        <f t="shared" si="10"/>
        <v>4876859.1352657918</v>
      </c>
      <c r="H97" s="2"/>
      <c r="I97" s="45">
        <f t="shared" si="5"/>
        <v>2.0315966563331906E-4</v>
      </c>
      <c r="J97" s="25">
        <f t="shared" si="6"/>
        <v>88678.468985164727</v>
      </c>
      <c r="K97" s="60">
        <f t="shared" si="7"/>
        <v>0.95000108009811413</v>
      </c>
      <c r="L97" s="25">
        <f t="shared" si="11"/>
        <v>89257.76512932482</v>
      </c>
      <c r="M97" s="60">
        <f t="shared" si="8"/>
        <v>54.687143126457833</v>
      </c>
      <c r="N97" s="25">
        <f t="shared" si="12"/>
        <v>4881252.1767751435</v>
      </c>
      <c r="O97" s="50"/>
    </row>
    <row r="98" spans="1:15" x14ac:dyDescent="0.2">
      <c r="A98" s="27" t="str">
        <f t="shared" si="2"/>
        <v>KiwiRail Holdings Limited</v>
      </c>
      <c r="B98" s="27" t="str">
        <f t="shared" si="2"/>
        <v>TRNZ</v>
      </c>
      <c r="C98" s="27" t="str">
        <f t="shared" si="2"/>
        <v>Direct Connect</v>
      </c>
      <c r="D98" s="45">
        <f t="shared" si="3"/>
        <v>8.7410883713865642E-4</v>
      </c>
      <c r="E98" s="25">
        <f t="shared" si="4"/>
        <v>38023.603342911432</v>
      </c>
      <c r="F98" s="25">
        <f t="shared" si="9"/>
        <v>54.637925654980847</v>
      </c>
      <c r="G98" s="25">
        <f t="shared" si="10"/>
        <v>2077530.8125844761</v>
      </c>
      <c r="H98" s="2"/>
      <c r="I98" s="45">
        <f t="shared" si="5"/>
        <v>2.0315966563331906E-4</v>
      </c>
      <c r="J98" s="25">
        <f t="shared" si="6"/>
        <v>42837.430820206275</v>
      </c>
      <c r="K98" s="60">
        <f t="shared" si="7"/>
        <v>0.85841690481813859</v>
      </c>
      <c r="L98" s="25">
        <f t="shared" si="11"/>
        <v>38023.603342911432</v>
      </c>
      <c r="M98" s="60">
        <f t="shared" si="8"/>
        <v>54.687143126457833</v>
      </c>
      <c r="N98" s="25">
        <f t="shared" si="12"/>
        <v>2079402.238197458</v>
      </c>
      <c r="O98" s="50"/>
    </row>
    <row r="99" spans="1:15" x14ac:dyDescent="0.2">
      <c r="A99" s="27" t="str">
        <f t="shared" si="2"/>
        <v>Mainpower New Zealand Limited</v>
      </c>
      <c r="B99" s="27" t="str">
        <f t="shared" si="2"/>
        <v>MPOW</v>
      </c>
      <c r="C99" s="27" t="str">
        <f t="shared" si="2"/>
        <v>Lines Business</v>
      </c>
      <c r="D99" s="45">
        <f t="shared" si="3"/>
        <v>2.0837011717903352E-4</v>
      </c>
      <c r="E99" s="25">
        <f t="shared" si="4"/>
        <v>137052.19342766347</v>
      </c>
      <c r="F99" s="25">
        <f t="shared" si="9"/>
        <v>54.637925654980847</v>
      </c>
      <c r="G99" s="25">
        <f t="shared" si="10"/>
        <v>7488247.5553527316</v>
      </c>
      <c r="H99" s="2"/>
      <c r="I99" s="45">
        <f t="shared" si="5"/>
        <v>2.0315966563331906E-4</v>
      </c>
      <c r="J99" s="25">
        <f t="shared" si="6"/>
        <v>136968.23303081747</v>
      </c>
      <c r="K99" s="60">
        <f t="shared" si="7"/>
        <v>1.0251142869931731</v>
      </c>
      <c r="L99" s="25">
        <f t="shared" si="11"/>
        <v>136968.23303081747</v>
      </c>
      <c r="M99" s="60">
        <f t="shared" si="8"/>
        <v>54.687143126457833</v>
      </c>
      <c r="N99" s="25">
        <f t="shared" si="12"/>
        <v>7490401.3635343444</v>
      </c>
      <c r="O99" s="50"/>
    </row>
    <row r="100" spans="1:15" x14ac:dyDescent="0.2">
      <c r="A100" s="27" t="str">
        <f t="shared" si="2"/>
        <v>Manawa Energy Ltd</v>
      </c>
      <c r="B100" s="27" t="str">
        <f t="shared" si="2"/>
        <v>TRUG</v>
      </c>
      <c r="C100" s="27" t="str">
        <f t="shared" si="2"/>
        <v>Generator</v>
      </c>
      <c r="D100" s="96">
        <f t="shared" si="3"/>
        <v>5.303595743868357E-3</v>
      </c>
      <c r="E100" s="25">
        <f t="shared" si="4"/>
        <v>594.66598784988241</v>
      </c>
      <c r="F100" s="25">
        <f t="shared" si="9"/>
        <v>54.637925654980847</v>
      </c>
      <c r="G100" s="25">
        <f t="shared" si="10"/>
        <v>32491.316033687621</v>
      </c>
      <c r="H100" s="2"/>
      <c r="I100" s="96">
        <f t="shared" si="5"/>
        <v>2.0315966563331906E-4</v>
      </c>
      <c r="J100" s="25">
        <f t="shared" si="6"/>
        <v>594.66598784988241</v>
      </c>
      <c r="K100" s="60">
        <f t="shared" si="7"/>
        <v>1</v>
      </c>
      <c r="L100" s="25">
        <f>IF(K100&lt;1,E100,J100)</f>
        <v>594.66598784988241</v>
      </c>
      <c r="M100" s="60">
        <f t="shared" si="8"/>
        <v>54.687143126457833</v>
      </c>
      <c r="N100" s="25">
        <f>IF(K100&lt;1,E100*M100,J100*M100)</f>
        <v>32520.583989982955</v>
      </c>
      <c r="O100" s="97"/>
    </row>
    <row r="101" spans="1:15" x14ac:dyDescent="0.2">
      <c r="A101" s="27" t="str">
        <f t="shared" si="2"/>
        <v>Marlborough Lines Limited</v>
      </c>
      <c r="B101" s="27" t="str">
        <f t="shared" si="2"/>
        <v>MARL</v>
      </c>
      <c r="C101" s="27" t="str">
        <f t="shared" si="2"/>
        <v>Lines Business</v>
      </c>
      <c r="D101" s="45">
        <f t="shared" si="3"/>
        <v>1.8312391310150076E-4</v>
      </c>
      <c r="E101" s="25">
        <f t="shared" si="4"/>
        <v>75507.809965326684</v>
      </c>
      <c r="F101" s="25">
        <f t="shared" si="9"/>
        <v>54.637925654980847</v>
      </c>
      <c r="G101" s="25">
        <f t="shared" si="10"/>
        <v>4125590.1072559413</v>
      </c>
      <c r="H101" s="2"/>
      <c r="I101" s="45">
        <f t="shared" si="5"/>
        <v>2.0315966563331906E-4</v>
      </c>
      <c r="J101" s="25">
        <f t="shared" si="6"/>
        <v>75719.709976594895</v>
      </c>
      <c r="K101" s="60">
        <f t="shared" si="7"/>
        <v>1.0263246911111716</v>
      </c>
      <c r="L101" s="25">
        <f t="shared" si="11"/>
        <v>75719.709976594895</v>
      </c>
      <c r="M101" s="60">
        <f t="shared" si="8"/>
        <v>54.687143126457833</v>
      </c>
      <c r="N101" s="25">
        <f t="shared" si="12"/>
        <v>4140894.6169839222</v>
      </c>
      <c r="O101" s="50"/>
    </row>
    <row r="102" spans="1:15" x14ac:dyDescent="0.2">
      <c r="A102" s="27" t="str">
        <f t="shared" si="2"/>
        <v>MEL (Te Apiti) Limited</v>
      </c>
      <c r="B102" s="27" t="str">
        <f t="shared" si="2"/>
        <v>MELT</v>
      </c>
      <c r="C102" s="27" t="str">
        <f t="shared" si="2"/>
        <v>Generator</v>
      </c>
      <c r="D102" s="45">
        <f t="shared" si="3"/>
        <v>1.7109591609007499E-3</v>
      </c>
      <c r="E102" s="25">
        <f t="shared" si="4"/>
        <v>0</v>
      </c>
      <c r="F102" s="25">
        <f t="shared" si="9"/>
        <v>54.637925654980847</v>
      </c>
      <c r="G102" s="25">
        <f t="shared" si="10"/>
        <v>0</v>
      </c>
      <c r="H102" s="2"/>
      <c r="I102" s="45">
        <f t="shared" si="5"/>
        <v>2.0315966563331906E-4</v>
      </c>
      <c r="J102" s="25">
        <f t="shared" si="6"/>
        <v>834.9567868000496</v>
      </c>
      <c r="K102" s="60">
        <f t="shared" si="7"/>
        <v>0</v>
      </c>
      <c r="L102" s="25">
        <f t="shared" si="11"/>
        <v>0</v>
      </c>
      <c r="M102" s="60">
        <f t="shared" si="8"/>
        <v>54.687143126457833</v>
      </c>
      <c r="N102" s="25">
        <f t="shared" si="12"/>
        <v>0</v>
      </c>
      <c r="O102" s="50"/>
    </row>
    <row r="103" spans="1:15" x14ac:dyDescent="0.2">
      <c r="A103" s="27" t="str">
        <f t="shared" si="2"/>
        <v>MEL (West Wind) Limited</v>
      </c>
      <c r="B103" s="27" t="str">
        <f t="shared" si="2"/>
        <v>MELW</v>
      </c>
      <c r="C103" s="27" t="str">
        <f t="shared" si="2"/>
        <v>Generator</v>
      </c>
      <c r="D103" s="45">
        <f t="shared" si="3"/>
        <v>1.7054146314331685E-3</v>
      </c>
      <c r="E103" s="25">
        <f t="shared" si="4"/>
        <v>0</v>
      </c>
      <c r="F103" s="25">
        <f t="shared" si="9"/>
        <v>54.637925654980847</v>
      </c>
      <c r="G103" s="25">
        <f t="shared" si="10"/>
        <v>0</v>
      </c>
      <c r="H103" s="2"/>
      <c r="I103" s="45">
        <f t="shared" si="5"/>
        <v>2.0315966563331906E-4</v>
      </c>
      <c r="J103" s="25">
        <f t="shared" si="6"/>
        <v>1032.5325120397426</v>
      </c>
      <c r="K103" s="60">
        <f t="shared" si="7"/>
        <v>0</v>
      </c>
      <c r="L103" s="25">
        <f t="shared" si="11"/>
        <v>0</v>
      </c>
      <c r="M103" s="60">
        <f t="shared" si="8"/>
        <v>54.687143126457833</v>
      </c>
      <c r="N103" s="25">
        <f t="shared" si="12"/>
        <v>0</v>
      </c>
      <c r="O103" s="50"/>
    </row>
    <row r="104" spans="1:15" x14ac:dyDescent="0.2">
      <c r="A104" s="27" t="str">
        <f t="shared" ref="A104:C123" si="13">A29</f>
        <v>Mercury NZ Limited</v>
      </c>
      <c r="B104" s="27" t="str">
        <f t="shared" si="13"/>
        <v>MRPL</v>
      </c>
      <c r="C104" s="27" t="str">
        <f t="shared" si="13"/>
        <v>Generator</v>
      </c>
      <c r="D104" s="45">
        <f t="shared" si="3"/>
        <v>4.3480935646597439E-4</v>
      </c>
      <c r="E104" s="25">
        <f t="shared" si="4"/>
        <v>39628.742152987143</v>
      </c>
      <c r="F104" s="25">
        <f t="shared" si="9"/>
        <v>54.637925654980847</v>
      </c>
      <c r="G104" s="25">
        <f t="shared" si="10"/>
        <v>2165232.2675553169</v>
      </c>
      <c r="H104" s="2"/>
      <c r="I104" s="45">
        <f t="shared" si="5"/>
        <v>2.0315966563331906E-4</v>
      </c>
      <c r="J104" s="25">
        <f t="shared" si="6"/>
        <v>35897.025566936136</v>
      </c>
      <c r="K104" s="60">
        <f t="shared" si="7"/>
        <v>1.2147015061599351</v>
      </c>
      <c r="L104" s="25">
        <f t="shared" si="11"/>
        <v>35897.025566936136</v>
      </c>
      <c r="M104" s="60">
        <f t="shared" si="8"/>
        <v>54.687143126457833</v>
      </c>
      <c r="N104" s="25">
        <f t="shared" si="12"/>
        <v>1963105.7749931526</v>
      </c>
      <c r="O104" s="50"/>
    </row>
    <row r="105" spans="1:15" x14ac:dyDescent="0.2">
      <c r="A105" s="27" t="str">
        <f t="shared" si="13"/>
        <v>Mercury SPV Limited</v>
      </c>
      <c r="B105" s="27" t="str">
        <f t="shared" si="13"/>
        <v>MSVP</v>
      </c>
      <c r="C105" s="27" t="str">
        <f t="shared" si="13"/>
        <v>Generator</v>
      </c>
      <c r="D105" s="45" t="str">
        <f t="shared" si="3"/>
        <v/>
      </c>
      <c r="E105" s="25" t="str">
        <f t="shared" si="4"/>
        <v/>
      </c>
      <c r="F105" s="25">
        <f t="shared" si="9"/>
        <v>54.637925654980847</v>
      </c>
      <c r="G105" s="25" t="str">
        <f t="shared" si="10"/>
        <v/>
      </c>
      <c r="H105" s="2"/>
      <c r="I105" s="45">
        <f t="shared" si="5"/>
        <v>2.0315966563331906E-4</v>
      </c>
      <c r="J105" s="25">
        <f t="shared" si="6"/>
        <v>0</v>
      </c>
      <c r="K105" s="60" t="str">
        <f t="shared" si="7"/>
        <v/>
      </c>
      <c r="L105" s="25">
        <f t="shared" si="11"/>
        <v>0</v>
      </c>
      <c r="M105" s="60">
        <f t="shared" si="8"/>
        <v>54.687143126457833</v>
      </c>
      <c r="N105" s="25">
        <f t="shared" si="12"/>
        <v>0</v>
      </c>
      <c r="O105" s="50"/>
    </row>
    <row r="106" spans="1:15" x14ac:dyDescent="0.2">
      <c r="A106" s="27" t="str">
        <f t="shared" si="13"/>
        <v>Meridian Energy Limited</v>
      </c>
      <c r="B106" s="27" t="str">
        <f t="shared" si="13"/>
        <v>MERI</v>
      </c>
      <c r="C106" s="27" t="str">
        <f t="shared" si="13"/>
        <v>Generator</v>
      </c>
      <c r="D106" s="45">
        <f t="shared" si="3"/>
        <v>2.838267705160092E-3</v>
      </c>
      <c r="E106" s="25">
        <f t="shared" si="4"/>
        <v>23375.50542796417</v>
      </c>
      <c r="F106" s="25">
        <f t="shared" si="9"/>
        <v>54.637925654980847</v>
      </c>
      <c r="G106" s="25">
        <f t="shared" si="10"/>
        <v>1277189.1277207076</v>
      </c>
      <c r="H106" s="2"/>
      <c r="I106" s="45">
        <f t="shared" si="5"/>
        <v>2.0315966563331906E-4</v>
      </c>
      <c r="J106" s="25">
        <f t="shared" si="6"/>
        <v>25737.792159309174</v>
      </c>
      <c r="K106" s="60">
        <f t="shared" si="7"/>
        <v>0.90183562264546013</v>
      </c>
      <c r="L106" s="25">
        <f t="shared" si="11"/>
        <v>23375.50542796417</v>
      </c>
      <c r="M106" s="60">
        <f t="shared" si="8"/>
        <v>54.687143126457833</v>
      </c>
      <c r="N106" s="25">
        <f t="shared" si="12"/>
        <v>1278339.6109923685</v>
      </c>
      <c r="O106" s="50"/>
    </row>
    <row r="107" spans="1:15" x14ac:dyDescent="0.2">
      <c r="A107" s="27" t="str">
        <f t="shared" si="13"/>
        <v>Methanex New Zealand Ltd</v>
      </c>
      <c r="B107" s="27" t="str">
        <f t="shared" si="13"/>
        <v>METH</v>
      </c>
      <c r="C107" s="27" t="str">
        <f t="shared" si="13"/>
        <v>Direct Connect</v>
      </c>
      <c r="D107" s="45">
        <f t="shared" si="3"/>
        <v>1.8212154873467986E-4</v>
      </c>
      <c r="E107" s="25">
        <f t="shared" si="4"/>
        <v>8978.0709386256895</v>
      </c>
      <c r="F107" s="25">
        <f t="shared" si="9"/>
        <v>54.637925654980847</v>
      </c>
      <c r="G107" s="25">
        <f t="shared" si="10"/>
        <v>490543.17246977455</v>
      </c>
      <c r="H107" s="2"/>
      <c r="I107" s="45">
        <f t="shared" si="5"/>
        <v>2.0315966563331906E-4</v>
      </c>
      <c r="J107" s="25">
        <f t="shared" si="6"/>
        <v>8964.2883933830253</v>
      </c>
      <c r="K107" s="60">
        <f t="shared" si="7"/>
        <v>0.9868850262802179</v>
      </c>
      <c r="L107" s="25">
        <f t="shared" si="11"/>
        <v>8978.0709386256895</v>
      </c>
      <c r="M107" s="60">
        <f t="shared" si="8"/>
        <v>54.687143126457833</v>
      </c>
      <c r="N107" s="25">
        <f t="shared" si="12"/>
        <v>490985.05042011471</v>
      </c>
      <c r="O107" s="50"/>
    </row>
    <row r="108" spans="1:15" x14ac:dyDescent="0.2">
      <c r="A108" s="27" t="str">
        <f t="shared" si="13"/>
        <v>Nelson Electricity Ltd</v>
      </c>
      <c r="B108" s="27" t="str">
        <f t="shared" si="13"/>
        <v>NELS</v>
      </c>
      <c r="C108" s="27" t="str">
        <f t="shared" si="13"/>
        <v>Lines Business</v>
      </c>
      <c r="D108" s="45">
        <f t="shared" si="3"/>
        <v>2.6858040500093977E-4</v>
      </c>
      <c r="E108" s="25">
        <f t="shared" si="4"/>
        <v>13603.81936071213</v>
      </c>
      <c r="F108" s="25">
        <f t="shared" si="9"/>
        <v>54.637925654980847</v>
      </c>
      <c r="G108" s="25">
        <f t="shared" si="10"/>
        <v>743284.47085437842</v>
      </c>
      <c r="H108" s="2"/>
      <c r="I108" s="45">
        <f t="shared" si="5"/>
        <v>2.0315966563331906E-4</v>
      </c>
      <c r="J108" s="25">
        <f t="shared" si="6"/>
        <v>13696.687342623618</v>
      </c>
      <c r="K108" s="60">
        <f t="shared" si="7"/>
        <v>0.9727378658858109</v>
      </c>
      <c r="L108" s="25">
        <f t="shared" si="11"/>
        <v>13603.81936071213</v>
      </c>
      <c r="M108" s="60">
        <f t="shared" si="8"/>
        <v>54.687143126457833</v>
      </c>
      <c r="N108" s="25">
        <f t="shared" si="12"/>
        <v>743954.01644574234</v>
      </c>
      <c r="O108" s="50"/>
    </row>
    <row r="109" spans="1:15" x14ac:dyDescent="0.2">
      <c r="A109" s="27" t="str">
        <f t="shared" si="13"/>
        <v>Network Tasman Limited</v>
      </c>
      <c r="B109" s="27" t="str">
        <f t="shared" si="13"/>
        <v>TASM</v>
      </c>
      <c r="C109" s="27" t="str">
        <f t="shared" si="13"/>
        <v>Lines Business</v>
      </c>
      <c r="D109" s="45">
        <f t="shared" si="3"/>
        <v>1.9541713780241168E-4</v>
      </c>
      <c r="E109" s="25">
        <f t="shared" si="4"/>
        <v>149576.09279358148</v>
      </c>
      <c r="F109" s="25">
        <f t="shared" si="9"/>
        <v>54.637925654980847</v>
      </c>
      <c r="G109" s="25">
        <f t="shared" si="10"/>
        <v>8172527.4378182217</v>
      </c>
      <c r="H109" s="2"/>
      <c r="I109" s="45">
        <f t="shared" si="5"/>
        <v>2.0315966563331906E-4</v>
      </c>
      <c r="J109" s="25">
        <f t="shared" si="6"/>
        <v>149688.65351966384</v>
      </c>
      <c r="K109" s="60">
        <f t="shared" si="7"/>
        <v>1.0193612182748566</v>
      </c>
      <c r="L109" s="25">
        <f t="shared" si="11"/>
        <v>149688.65351966384</v>
      </c>
      <c r="M109" s="60">
        <f t="shared" si="8"/>
        <v>54.687143126457833</v>
      </c>
      <c r="N109" s="25">
        <f t="shared" si="12"/>
        <v>8186044.8194366125</v>
      </c>
      <c r="O109" s="50"/>
    </row>
    <row r="110" spans="1:15" x14ac:dyDescent="0.2">
      <c r="A110" s="27" t="str">
        <f t="shared" si="13"/>
        <v>Network Waitaki Limited</v>
      </c>
      <c r="B110" s="27" t="str">
        <f t="shared" si="13"/>
        <v>WATA</v>
      </c>
      <c r="C110" s="27" t="str">
        <f t="shared" si="13"/>
        <v>Lines Business</v>
      </c>
      <c r="D110" s="45">
        <f t="shared" si="3"/>
        <v>2.4274193888968021E-4</v>
      </c>
      <c r="E110" s="25">
        <f t="shared" si="4"/>
        <v>66798.461038027337</v>
      </c>
      <c r="F110" s="25">
        <f t="shared" si="9"/>
        <v>54.637925654980847</v>
      </c>
      <c r="G110" s="25">
        <f t="shared" si="10"/>
        <v>3649729.3480628724</v>
      </c>
      <c r="H110" s="2"/>
      <c r="I110" s="45">
        <f t="shared" si="5"/>
        <v>2.0315966563331906E-4</v>
      </c>
      <c r="J110" s="25">
        <f t="shared" si="6"/>
        <v>66295.494891158451</v>
      </c>
      <c r="K110" s="60">
        <f t="shared" si="7"/>
        <v>1.0484114554535717</v>
      </c>
      <c r="L110" s="25">
        <f t="shared" si="11"/>
        <v>66295.494891158451</v>
      </c>
      <c r="M110" s="60">
        <f t="shared" si="8"/>
        <v>54.687143126457833</v>
      </c>
      <c r="N110" s="25">
        <f t="shared" si="12"/>
        <v>3625511.2177521363</v>
      </c>
      <c r="O110" s="50"/>
    </row>
    <row r="111" spans="1:15" x14ac:dyDescent="0.2">
      <c r="A111" s="27" t="str">
        <f t="shared" si="13"/>
        <v>New Zealand Steel Limited</v>
      </c>
      <c r="B111" s="27" t="str">
        <f t="shared" si="13"/>
        <v>NZST</v>
      </c>
      <c r="C111" s="27" t="str">
        <f t="shared" si="13"/>
        <v>Direct Connect</v>
      </c>
      <c r="D111" s="45">
        <f t="shared" si="3"/>
        <v>1.4662189816879397E-4</v>
      </c>
      <c r="E111" s="25">
        <f t="shared" si="4"/>
        <v>157630.18964126304</v>
      </c>
      <c r="F111" s="25">
        <f t="shared" si="9"/>
        <v>54.637925654980847</v>
      </c>
      <c r="G111" s="25">
        <f t="shared" si="10"/>
        <v>8612586.5825998615</v>
      </c>
      <c r="H111" s="2"/>
      <c r="I111" s="45">
        <f t="shared" si="5"/>
        <v>2.0315966563331906E-4</v>
      </c>
      <c r="J111" s="25">
        <f t="shared" si="6"/>
        <v>157236.74144096085</v>
      </c>
      <c r="K111" s="60">
        <f t="shared" si="7"/>
        <v>0.99356858993593555</v>
      </c>
      <c r="L111" s="25">
        <f t="shared" si="11"/>
        <v>157630.18964126304</v>
      </c>
      <c r="M111" s="60">
        <f t="shared" si="8"/>
        <v>54.687143126457833</v>
      </c>
      <c r="N111" s="25">
        <f t="shared" si="12"/>
        <v>8620344.7419624422</v>
      </c>
      <c r="O111" s="50"/>
    </row>
    <row r="112" spans="1:15" x14ac:dyDescent="0.2">
      <c r="A112" s="27" t="str">
        <f t="shared" si="13"/>
        <v>Nga Awa Purua Joint Venture</v>
      </c>
      <c r="B112" s="27" t="str">
        <f t="shared" si="13"/>
        <v>NAPA</v>
      </c>
      <c r="C112" s="27" t="str">
        <f t="shared" si="13"/>
        <v>Generator</v>
      </c>
      <c r="D112" s="45">
        <f t="shared" si="3"/>
        <v>4.9684809079362867E-2</v>
      </c>
      <c r="E112" s="25">
        <f t="shared" si="4"/>
        <v>5492.916488971231</v>
      </c>
      <c r="F112" s="25">
        <f t="shared" si="9"/>
        <v>54.637925654980847</v>
      </c>
      <c r="G112" s="25">
        <f t="shared" si="10"/>
        <v>300121.56275342853</v>
      </c>
      <c r="H112" s="2"/>
      <c r="I112" s="45">
        <f t="shared" si="5"/>
        <v>2.0315966563331906E-4</v>
      </c>
      <c r="J112" s="25">
        <f t="shared" si="6"/>
        <v>5270.1129920735602</v>
      </c>
      <c r="K112" s="60">
        <f t="shared" si="7"/>
        <v>1.0424577449847954</v>
      </c>
      <c r="L112" s="25">
        <f t="shared" si="11"/>
        <v>5270.1129920735602</v>
      </c>
      <c r="M112" s="60">
        <f t="shared" si="8"/>
        <v>54.687143126457833</v>
      </c>
      <c r="N112" s="25">
        <f t="shared" si="12"/>
        <v>288207.42349013174</v>
      </c>
      <c r="O112" s="50"/>
    </row>
    <row r="113" spans="1:15" x14ac:dyDescent="0.2">
      <c r="A113" s="27" t="str">
        <f t="shared" si="13"/>
        <v>Ngatamariki Geothermal Ltd</v>
      </c>
      <c r="B113" s="27" t="str">
        <f t="shared" si="13"/>
        <v>NTRG</v>
      </c>
      <c r="C113" s="27" t="str">
        <f t="shared" si="13"/>
        <v>Generator</v>
      </c>
      <c r="D113" s="45">
        <f t="shared" si="3"/>
        <v>0.2541552703555649</v>
      </c>
      <c r="E113" s="25">
        <f t="shared" si="4"/>
        <v>0</v>
      </c>
      <c r="F113" s="25">
        <f t="shared" si="9"/>
        <v>54.637925654980847</v>
      </c>
      <c r="G113" s="25">
        <f t="shared" si="10"/>
        <v>0</v>
      </c>
      <c r="H113" s="2"/>
      <c r="I113" s="45">
        <f t="shared" si="5"/>
        <v>2.0315966563331906E-4</v>
      </c>
      <c r="J113" s="25">
        <f t="shared" si="6"/>
        <v>1602.8187466195031</v>
      </c>
      <c r="K113" s="60">
        <f t="shared" si="7"/>
        <v>0</v>
      </c>
      <c r="L113" s="25">
        <f t="shared" si="11"/>
        <v>0</v>
      </c>
      <c r="M113" s="60">
        <f t="shared" si="8"/>
        <v>54.687143126457833</v>
      </c>
      <c r="N113" s="25">
        <f t="shared" si="12"/>
        <v>0</v>
      </c>
      <c r="O113" s="50"/>
    </row>
    <row r="114" spans="1:15" x14ac:dyDescent="0.2">
      <c r="A114" s="27" t="str">
        <f t="shared" si="13"/>
        <v>Northpower Limited</v>
      </c>
      <c r="B114" s="27" t="str">
        <f t="shared" si="13"/>
        <v>NPOW</v>
      </c>
      <c r="C114" s="27" t="str">
        <f t="shared" si="13"/>
        <v>Lines Business</v>
      </c>
      <c r="D114" s="45">
        <f t="shared" si="3"/>
        <v>1.6392991012669248E-4</v>
      </c>
      <c r="E114" s="25">
        <f t="shared" si="4"/>
        <v>174809.59810723754</v>
      </c>
      <c r="F114" s="25">
        <f t="shared" si="9"/>
        <v>54.637925654980847</v>
      </c>
      <c r="G114" s="25">
        <f t="shared" si="10"/>
        <v>9551233.8251603264</v>
      </c>
      <c r="H114" s="2"/>
      <c r="I114" s="45">
        <f t="shared" si="5"/>
        <v>2.0315966563331906E-4</v>
      </c>
      <c r="J114" s="25">
        <f t="shared" si="6"/>
        <v>173284.29164979132</v>
      </c>
      <c r="K114" s="60">
        <f t="shared" si="7"/>
        <v>0.96482118042136156</v>
      </c>
      <c r="L114" s="25">
        <f t="shared" si="11"/>
        <v>174809.59810723754</v>
      </c>
      <c r="M114" s="60">
        <f t="shared" si="8"/>
        <v>54.687143126457833</v>
      </c>
      <c r="N114" s="25">
        <f t="shared" si="12"/>
        <v>9559837.5115690716</v>
      </c>
      <c r="O114" s="50"/>
    </row>
    <row r="115" spans="1:15" x14ac:dyDescent="0.2">
      <c r="A115" s="27" t="str">
        <f t="shared" si="13"/>
        <v>Nova Energy Limited</v>
      </c>
      <c r="B115" s="27" t="str">
        <f t="shared" si="13"/>
        <v>TBOP</v>
      </c>
      <c r="C115" s="27" t="str">
        <f t="shared" si="13"/>
        <v>Generator</v>
      </c>
      <c r="D115" s="45">
        <f t="shared" si="3"/>
        <v>1.6919979081162428E-4</v>
      </c>
      <c r="E115" s="25">
        <f t="shared" si="4"/>
        <v>6120.9856759839577</v>
      </c>
      <c r="F115" s="25">
        <f t="shared" si="9"/>
        <v>54.637925654980847</v>
      </c>
      <c r="G115" s="25">
        <f t="shared" si="10"/>
        <v>334437.96029961418</v>
      </c>
      <c r="H115" s="2"/>
      <c r="I115" s="45">
        <f t="shared" si="5"/>
        <v>2.0315966563331906E-4</v>
      </c>
      <c r="J115" s="25">
        <f t="shared" si="6"/>
        <v>5716.4424317492831</v>
      </c>
      <c r="K115" s="60">
        <f t="shared" si="7"/>
        <v>0.75228181277964257</v>
      </c>
      <c r="L115" s="25">
        <f t="shared" si="11"/>
        <v>6120.9856759839577</v>
      </c>
      <c r="M115" s="60">
        <f t="shared" si="8"/>
        <v>54.687143126457833</v>
      </c>
      <c r="N115" s="25">
        <f t="shared" si="12"/>
        <v>334739.21973753296</v>
      </c>
      <c r="O115" s="50"/>
    </row>
    <row r="116" spans="1:15" x14ac:dyDescent="0.2">
      <c r="A116" s="27" t="str">
        <f t="shared" si="13"/>
        <v>NZ Aluminium Smelters Limited</v>
      </c>
      <c r="B116" s="27" t="str">
        <f t="shared" si="13"/>
        <v>NZAS</v>
      </c>
      <c r="C116" s="27" t="str">
        <f t="shared" si="13"/>
        <v>Direct Connect</v>
      </c>
      <c r="D116" s="45">
        <f t="shared" si="3"/>
        <v>1.1651354331188458E-4</v>
      </c>
      <c r="E116" s="25">
        <f t="shared" si="4"/>
        <v>589882.64362008229</v>
      </c>
      <c r="F116" s="25">
        <f t="shared" si="9"/>
        <v>54.637925654980847</v>
      </c>
      <c r="G116" s="25">
        <f t="shared" si="10"/>
        <v>32229964.027277619</v>
      </c>
      <c r="H116" s="2"/>
      <c r="I116" s="45">
        <f t="shared" si="5"/>
        <v>2.0315966563331906E-4</v>
      </c>
      <c r="J116" s="25">
        <f t="shared" si="6"/>
        <v>589729.77538834629</v>
      </c>
      <c r="K116" s="60">
        <f t="shared" si="7"/>
        <v>0.99965164055855671</v>
      </c>
      <c r="L116" s="25">
        <f t="shared" si="11"/>
        <v>589882.64362008229</v>
      </c>
      <c r="M116" s="60">
        <f t="shared" si="8"/>
        <v>54.687143126457833</v>
      </c>
      <c r="N116" s="25">
        <f t="shared" si="12"/>
        <v>32258996.55946476</v>
      </c>
      <c r="O116" s="50"/>
    </row>
    <row r="117" spans="1:15" x14ac:dyDescent="0.2">
      <c r="A117" s="27" t="str">
        <f t="shared" si="13"/>
        <v>OMV New Zealand Limited</v>
      </c>
      <c r="B117" s="27" t="str">
        <f t="shared" si="13"/>
        <v>OMVP</v>
      </c>
      <c r="C117" s="27" t="str">
        <f t="shared" si="13"/>
        <v>Direct Connect</v>
      </c>
      <c r="D117" s="45"/>
      <c r="E117" s="25"/>
      <c r="F117" s="25">
        <f t="shared" si="9"/>
        <v>54.637925654980847</v>
      </c>
      <c r="G117" s="25"/>
      <c r="H117" s="2"/>
      <c r="I117" s="45"/>
      <c r="J117" s="25"/>
      <c r="K117" s="60"/>
      <c r="L117" s="25"/>
      <c r="M117" s="60"/>
      <c r="N117" s="25"/>
      <c r="O117" s="50"/>
    </row>
    <row r="118" spans="1:15" x14ac:dyDescent="0.2">
      <c r="A118" s="27" t="str">
        <f t="shared" si="13"/>
        <v>Orion New Zealand Limited</v>
      </c>
      <c r="B118" s="27" t="str">
        <f t="shared" si="13"/>
        <v>ORON</v>
      </c>
      <c r="C118" s="27" t="str">
        <f t="shared" si="13"/>
        <v>Lines Business</v>
      </c>
      <c r="D118" s="45">
        <f t="shared" ref="D118:D134" si="14">IFERROR(D43/E43,"")</f>
        <v>2.2839945039147965E-4</v>
      </c>
      <c r="E118" s="25">
        <f t="shared" ref="E118:E134" si="15">IFERROR($D43+($F43-$E43)*$D118,"")</f>
        <v>773676.62673493312</v>
      </c>
      <c r="F118" s="25">
        <f t="shared" si="9"/>
        <v>54.637925654980847</v>
      </c>
      <c r="G118" s="25">
        <f t="shared" si="10"/>
        <v>42272086.01253964</v>
      </c>
      <c r="H118" s="2"/>
      <c r="I118" s="45">
        <f t="shared" ref="I118:I134" si="16">$C$76</f>
        <v>2.0315966563331906E-4</v>
      </c>
      <c r="J118" s="25">
        <f t="shared" ref="J118:J134" si="17">IFERROR($D43+($F43-$E43)*$I118,"")</f>
        <v>771403.10363160702</v>
      </c>
      <c r="K118" s="60">
        <f t="shared" ref="K118:K134" si="18">IFERROR(F43/E43,"")</f>
        <v>1.027318342459874</v>
      </c>
      <c r="L118" s="25">
        <f t="shared" si="11"/>
        <v>771403.10363160702</v>
      </c>
      <c r="M118" s="60">
        <f t="shared" ref="M118:M134" si="19">$M$81</f>
        <v>54.687143126457833</v>
      </c>
      <c r="N118" s="25">
        <f t="shared" si="12"/>
        <v>42185831.936495475</v>
      </c>
      <c r="O118" s="50"/>
    </row>
    <row r="119" spans="1:15" x14ac:dyDescent="0.2">
      <c r="A119" s="27" t="str">
        <f t="shared" si="13"/>
        <v>Pan Pac Forest Product Limited</v>
      </c>
      <c r="B119" s="27" t="str">
        <f t="shared" si="13"/>
        <v>PANP</v>
      </c>
      <c r="C119" s="27" t="str">
        <f t="shared" si="13"/>
        <v>Direct Connect</v>
      </c>
      <c r="D119" s="45">
        <f t="shared" si="14"/>
        <v>1.5146619947739855E-4</v>
      </c>
      <c r="E119" s="25">
        <f t="shared" si="15"/>
        <v>16560.899044139434</v>
      </c>
      <c r="F119" s="25">
        <f t="shared" si="9"/>
        <v>54.637925654980847</v>
      </c>
      <c r="G119" s="25">
        <f t="shared" si="10"/>
        <v>904853.17075333383</v>
      </c>
      <c r="H119" s="2"/>
      <c r="I119" s="45">
        <f t="shared" si="16"/>
        <v>2.0315966563331906E-4</v>
      </c>
      <c r="J119" s="25">
        <f t="shared" si="17"/>
        <v>-4312.9196652167739</v>
      </c>
      <c r="K119" s="60">
        <f t="shared" si="18"/>
        <v>0.21307607066088255</v>
      </c>
      <c r="L119" s="25">
        <f t="shared" si="11"/>
        <v>16560.899044139434</v>
      </c>
      <c r="M119" s="60">
        <f t="shared" si="19"/>
        <v>54.687143126457833</v>
      </c>
      <c r="N119" s="25">
        <f t="shared" si="12"/>
        <v>905668.25632967195</v>
      </c>
      <c r="O119" s="50"/>
    </row>
    <row r="120" spans="1:15" x14ac:dyDescent="0.2">
      <c r="A120" s="27" t="str">
        <f t="shared" si="13"/>
        <v>Powerco Limited</v>
      </c>
      <c r="B120" s="27" t="str">
        <f t="shared" si="13"/>
        <v>POCO</v>
      </c>
      <c r="C120" s="27" t="str">
        <f t="shared" si="13"/>
        <v>Lines Business</v>
      </c>
      <c r="D120" s="45">
        <f t="shared" si="14"/>
        <v>2.0368985763027084E-4</v>
      </c>
      <c r="E120" s="25">
        <f t="shared" si="15"/>
        <v>1057715.615732769</v>
      </c>
      <c r="F120" s="25">
        <f t="shared" si="9"/>
        <v>54.637925654980847</v>
      </c>
      <c r="G120" s="25">
        <f t="shared" si="10"/>
        <v>57791387.176519327</v>
      </c>
      <c r="H120" s="2"/>
      <c r="I120" s="45">
        <f t="shared" si="16"/>
        <v>2.0315966563331906E-4</v>
      </c>
      <c r="J120" s="25">
        <f t="shared" si="17"/>
        <v>1057668.7131389456</v>
      </c>
      <c r="K120" s="60">
        <f t="shared" si="18"/>
        <v>1.0173311152011661</v>
      </c>
      <c r="L120" s="25">
        <f t="shared" si="11"/>
        <v>1057668.7131389456</v>
      </c>
      <c r="M120" s="60">
        <f t="shared" si="19"/>
        <v>54.687143126457833</v>
      </c>
      <c r="N120" s="25">
        <f t="shared" si="12"/>
        <v>57840880.295805991</v>
      </c>
      <c r="O120" s="50"/>
    </row>
    <row r="121" spans="1:15" x14ac:dyDescent="0.2">
      <c r="A121" s="27" t="str">
        <f t="shared" si="13"/>
        <v>Powernet Ltd</v>
      </c>
      <c r="B121" s="27" t="str">
        <f t="shared" si="13"/>
        <v>POWN</v>
      </c>
      <c r="C121" s="27" t="str">
        <f t="shared" si="13"/>
        <v>Lines Business</v>
      </c>
      <c r="D121" s="45">
        <f t="shared" si="14"/>
        <v>1.8920117885578566E-4</v>
      </c>
      <c r="E121" s="25">
        <f t="shared" si="15"/>
        <v>291204.17888747825</v>
      </c>
      <c r="F121" s="25">
        <f t="shared" si="9"/>
        <v>54.637925654980847</v>
      </c>
      <c r="G121" s="25">
        <f t="shared" si="10"/>
        <v>15910792.276473779</v>
      </c>
      <c r="H121" s="2"/>
      <c r="I121" s="45">
        <f t="shared" si="16"/>
        <v>2.0315966563331906E-4</v>
      </c>
      <c r="J121" s="25">
        <f t="shared" si="17"/>
        <v>291928.31220977067</v>
      </c>
      <c r="K121" s="60">
        <f t="shared" si="18"/>
        <v>1.0348816578600319</v>
      </c>
      <c r="L121" s="25">
        <f t="shared" si="11"/>
        <v>291928.31220977067</v>
      </c>
      <c r="M121" s="60">
        <f t="shared" si="19"/>
        <v>54.687143126457833</v>
      </c>
      <c r="N121" s="25">
        <f t="shared" si="12"/>
        <v>15964725.392480996</v>
      </c>
      <c r="O121" s="50"/>
    </row>
    <row r="122" spans="1:15" x14ac:dyDescent="0.2">
      <c r="A122" s="27" t="str">
        <f t="shared" si="13"/>
        <v>Scanpower Limited</v>
      </c>
      <c r="B122" s="27" t="str">
        <f t="shared" si="13"/>
        <v>SCAN</v>
      </c>
      <c r="C122" s="27" t="str">
        <f t="shared" si="13"/>
        <v>Lines Business</v>
      </c>
      <c r="D122" s="45">
        <f t="shared" si="14"/>
        <v>1.8330497970427964E-4</v>
      </c>
      <c r="E122" s="25">
        <f t="shared" si="15"/>
        <v>15216.002883279391</v>
      </c>
      <c r="F122" s="25">
        <f t="shared" si="9"/>
        <v>54.637925654980847</v>
      </c>
      <c r="G122" s="25">
        <f t="shared" si="10"/>
        <v>831370.8343025936</v>
      </c>
      <c r="H122" s="2"/>
      <c r="I122" s="45">
        <f t="shared" si="16"/>
        <v>2.0315966563331906E-4</v>
      </c>
      <c r="J122" s="25">
        <f t="shared" si="17"/>
        <v>15224.681369806061</v>
      </c>
      <c r="K122" s="60">
        <f t="shared" si="18"/>
        <v>1.0052935564934462</v>
      </c>
      <c r="L122" s="25">
        <f t="shared" si="11"/>
        <v>15224.681369806061</v>
      </c>
      <c r="M122" s="60">
        <f t="shared" si="19"/>
        <v>54.687143126457833</v>
      </c>
      <c r="N122" s="25">
        <f t="shared" si="12"/>
        <v>832594.32912530017</v>
      </c>
      <c r="O122" s="50"/>
    </row>
    <row r="123" spans="1:15" x14ac:dyDescent="0.2">
      <c r="A123" s="27" t="str">
        <f t="shared" si="13"/>
        <v>Southpark Utilities Limited</v>
      </c>
      <c r="B123" s="27" t="str">
        <f t="shared" si="13"/>
        <v>SHPK</v>
      </c>
      <c r="C123" s="27" t="str">
        <f t="shared" si="13"/>
        <v>Direct Connect</v>
      </c>
      <c r="D123" s="45">
        <f t="shared" si="14"/>
        <v>3.7148325692961439E-4</v>
      </c>
      <c r="E123" s="25">
        <f t="shared" si="15"/>
        <v>171.57483770676993</v>
      </c>
      <c r="F123" s="25">
        <f t="shared" si="9"/>
        <v>54.637925654980847</v>
      </c>
      <c r="G123" s="25">
        <f t="shared" si="10"/>
        <v>9374.4932268879002</v>
      </c>
      <c r="H123" s="2"/>
      <c r="I123" s="45">
        <f t="shared" si="16"/>
        <v>2.0315966563331906E-4</v>
      </c>
      <c r="J123" s="25">
        <f t="shared" si="17"/>
        <v>171.49138326578952</v>
      </c>
      <c r="K123" s="60">
        <f t="shared" si="18"/>
        <v>1.0010746240709778</v>
      </c>
      <c r="L123" s="25">
        <f t="shared" si="11"/>
        <v>171.49138326578952</v>
      </c>
      <c r="M123" s="60">
        <f t="shared" si="19"/>
        <v>54.687143126457833</v>
      </c>
      <c r="N123" s="25">
        <f t="shared" si="12"/>
        <v>9378.3738216104666</v>
      </c>
      <c r="O123" s="50"/>
    </row>
    <row r="124" spans="1:15" x14ac:dyDescent="0.2">
      <c r="A124" s="27" t="str">
        <f t="shared" ref="A124:C133" si="20">A49</f>
        <v>Tararua Wind Power</v>
      </c>
      <c r="B124" s="27" t="str">
        <f t="shared" si="20"/>
        <v>TARW</v>
      </c>
      <c r="C124" s="27" t="str">
        <f t="shared" si="20"/>
        <v>Generator</v>
      </c>
      <c r="D124" s="45">
        <f t="shared" si="14"/>
        <v>1.9423754601698973E-3</v>
      </c>
      <c r="E124" s="25">
        <f t="shared" si="15"/>
        <v>0</v>
      </c>
      <c r="F124" s="25">
        <f t="shared" si="9"/>
        <v>54.637925654980847</v>
      </c>
      <c r="G124" s="25">
        <f t="shared" si="10"/>
        <v>0</v>
      </c>
      <c r="H124" s="2"/>
      <c r="I124" s="45">
        <f t="shared" si="16"/>
        <v>2.0315966563331906E-4</v>
      </c>
      <c r="J124" s="25">
        <f t="shared" si="17"/>
        <v>990.96232718996384</v>
      </c>
      <c r="K124" s="60">
        <f t="shared" si="18"/>
        <v>0</v>
      </c>
      <c r="L124" s="25">
        <f t="shared" si="11"/>
        <v>0</v>
      </c>
      <c r="M124" s="60">
        <f t="shared" si="19"/>
        <v>54.687143126457833</v>
      </c>
      <c r="N124" s="25">
        <f t="shared" si="12"/>
        <v>0</v>
      </c>
      <c r="O124" s="50"/>
    </row>
    <row r="125" spans="1:15" x14ac:dyDescent="0.2">
      <c r="A125" s="27" t="str">
        <f t="shared" si="20"/>
        <v>The Lines Company Ltd</v>
      </c>
      <c r="B125" s="27" t="str">
        <f t="shared" si="20"/>
        <v>WTOM</v>
      </c>
      <c r="C125" s="27" t="str">
        <f t="shared" si="20"/>
        <v>Lines Business</v>
      </c>
      <c r="D125" s="45">
        <f t="shared" si="14"/>
        <v>2.3628986792157794E-4</v>
      </c>
      <c r="E125" s="25">
        <f t="shared" si="15"/>
        <v>74822.832436297729</v>
      </c>
      <c r="F125" s="25">
        <f t="shared" si="9"/>
        <v>54.637925654980847</v>
      </c>
      <c r="G125" s="25">
        <f t="shared" si="10"/>
        <v>4088164.3559495248</v>
      </c>
      <c r="H125" s="2"/>
      <c r="I125" s="45">
        <f t="shared" si="16"/>
        <v>2.0315966563331906E-4</v>
      </c>
      <c r="J125" s="25">
        <f t="shared" si="17"/>
        <v>75182.933055669739</v>
      </c>
      <c r="K125" s="60">
        <f t="shared" si="18"/>
        <v>0.96681409179107436</v>
      </c>
      <c r="L125" s="25">
        <f t="shared" si="11"/>
        <v>74822.832436297729</v>
      </c>
      <c r="M125" s="60">
        <f t="shared" si="19"/>
        <v>54.687143126457833</v>
      </c>
      <c r="N125" s="25">
        <f t="shared" si="12"/>
        <v>4091846.9465707857</v>
      </c>
      <c r="O125" s="50"/>
    </row>
    <row r="126" spans="1:15" x14ac:dyDescent="0.2">
      <c r="A126" s="27" t="str">
        <f t="shared" si="20"/>
        <v>Top Energy Ltd</v>
      </c>
      <c r="B126" s="27" t="str">
        <f t="shared" si="20"/>
        <v>TOPE</v>
      </c>
      <c r="C126" s="27" t="str">
        <f t="shared" si="20"/>
        <v>Lines Business</v>
      </c>
      <c r="D126" s="45">
        <f t="shared" si="14"/>
        <v>1.9443074182328752E-4</v>
      </c>
      <c r="E126" s="25">
        <f t="shared" si="15"/>
        <v>70374.937090374471</v>
      </c>
      <c r="F126" s="25">
        <f t="shared" si="9"/>
        <v>54.637925654980847</v>
      </c>
      <c r="G126" s="25">
        <f t="shared" si="10"/>
        <v>3845140.5807178346</v>
      </c>
      <c r="H126" s="2"/>
      <c r="I126" s="45">
        <f t="shared" si="16"/>
        <v>2.0315966563331906E-4</v>
      </c>
      <c r="J126" s="25">
        <f t="shared" si="17"/>
        <v>70401.587850597993</v>
      </c>
      <c r="K126" s="60">
        <f t="shared" si="18"/>
        <v>1.0085069663552602</v>
      </c>
      <c r="L126" s="25">
        <f t="shared" si="11"/>
        <v>70401.587850597993</v>
      </c>
      <c r="M126" s="60">
        <f t="shared" si="19"/>
        <v>54.687143126457833</v>
      </c>
      <c r="N126" s="25">
        <f t="shared" si="12"/>
        <v>3850061.7111155475</v>
      </c>
      <c r="O126" s="50"/>
    </row>
    <row r="127" spans="1:15" x14ac:dyDescent="0.2">
      <c r="A127" s="27" t="str">
        <f t="shared" si="20"/>
        <v>Unison Networks Limited</v>
      </c>
      <c r="B127" s="27" t="str">
        <f t="shared" si="20"/>
        <v>UNIS</v>
      </c>
      <c r="C127" s="27" t="str">
        <f t="shared" si="20"/>
        <v>Lines Business</v>
      </c>
      <c r="D127" s="45">
        <f t="shared" si="14"/>
        <v>2.1587890404445396E-4</v>
      </c>
      <c r="E127" s="25">
        <f t="shared" si="15"/>
        <v>371518.14376148069</v>
      </c>
      <c r="F127" s="25">
        <f t="shared" si="9"/>
        <v>54.637925654980847</v>
      </c>
      <c r="G127" s="25">
        <f t="shared" si="10"/>
        <v>20298980.718316268</v>
      </c>
      <c r="H127" s="2"/>
      <c r="I127" s="45">
        <f t="shared" si="16"/>
        <v>2.0315966563331906E-4</v>
      </c>
      <c r="J127" s="25">
        <f t="shared" si="17"/>
        <v>371037.0867634613</v>
      </c>
      <c r="K127" s="60">
        <f t="shared" si="18"/>
        <v>1.0224706934082886</v>
      </c>
      <c r="L127" s="25">
        <f t="shared" si="11"/>
        <v>371037.0867634613</v>
      </c>
      <c r="M127" s="60">
        <f t="shared" si="19"/>
        <v>54.687143126457833</v>
      </c>
      <c r="N127" s="25">
        <f t="shared" si="12"/>
        <v>20290958.26905736</v>
      </c>
      <c r="O127" s="50"/>
    </row>
    <row r="128" spans="1:15" x14ac:dyDescent="0.2">
      <c r="A128" s="27" t="str">
        <f t="shared" si="20"/>
        <v>Vector Limited</v>
      </c>
      <c r="B128" s="27" t="str">
        <f t="shared" si="20"/>
        <v>VECT</v>
      </c>
      <c r="C128" s="27" t="str">
        <f t="shared" si="20"/>
        <v>Lines Business</v>
      </c>
      <c r="D128" s="45">
        <f t="shared" si="14"/>
        <v>2.2838641623148013E-4</v>
      </c>
      <c r="E128" s="25">
        <f t="shared" si="15"/>
        <v>1982183.3835816325</v>
      </c>
      <c r="F128" s="25">
        <f t="shared" si="9"/>
        <v>54.637925654980847</v>
      </c>
      <c r="G128" s="25">
        <f t="shared" si="10"/>
        <v>108302388.34667163</v>
      </c>
      <c r="H128" s="2"/>
      <c r="I128" s="45">
        <f t="shared" si="16"/>
        <v>2.0315966563331906E-4</v>
      </c>
      <c r="J128" s="25">
        <f t="shared" si="17"/>
        <v>1982994.3662222705</v>
      </c>
      <c r="K128" s="60">
        <f t="shared" si="18"/>
        <v>0.99630962068716866</v>
      </c>
      <c r="L128" s="25">
        <f t="shared" si="11"/>
        <v>1982183.3835816325</v>
      </c>
      <c r="M128" s="60">
        <f t="shared" si="19"/>
        <v>54.687143126457833</v>
      </c>
      <c r="N128" s="25">
        <f t="shared" si="12"/>
        <v>108399946.4008152</v>
      </c>
      <c r="O128" s="50"/>
    </row>
    <row r="129" spans="1:15" x14ac:dyDescent="0.2">
      <c r="A129" s="27" t="str">
        <f t="shared" si="20"/>
        <v>Waipa Networks Limited</v>
      </c>
      <c r="B129" s="27" t="str">
        <f t="shared" si="20"/>
        <v>WAIP</v>
      </c>
      <c r="C129" s="27" t="str">
        <f t="shared" si="20"/>
        <v>Lines Business</v>
      </c>
      <c r="D129" s="45">
        <f t="shared" si="14"/>
        <v>1.8713447871187929E-4</v>
      </c>
      <c r="E129" s="25">
        <f t="shared" si="15"/>
        <v>79231.720742881691</v>
      </c>
      <c r="F129" s="25">
        <f t="shared" si="9"/>
        <v>54.637925654980847</v>
      </c>
      <c r="G129" s="25">
        <f t="shared" si="10"/>
        <v>4329056.8674657736</v>
      </c>
      <c r="H129" s="2"/>
      <c r="I129" s="45">
        <f t="shared" si="16"/>
        <v>2.0315966563331906E-4</v>
      </c>
      <c r="J129" s="25">
        <f t="shared" si="17"/>
        <v>79551.552176863392</v>
      </c>
      <c r="K129" s="60">
        <f t="shared" si="18"/>
        <v>1.0494701055745053</v>
      </c>
      <c r="L129" s="25">
        <f t="shared" si="11"/>
        <v>79551.552176863392</v>
      </c>
      <c r="M129" s="60">
        <f t="shared" si="19"/>
        <v>54.687143126457833</v>
      </c>
      <c r="N129" s="25">
        <f t="shared" si="12"/>
        <v>4350447.1198280063</v>
      </c>
      <c r="O129" s="50"/>
    </row>
    <row r="130" spans="1:15" x14ac:dyDescent="0.2">
      <c r="A130" s="27" t="str">
        <f t="shared" si="20"/>
        <v>WEL Networks Limited</v>
      </c>
      <c r="B130" s="27" t="str">
        <f t="shared" si="20"/>
        <v>WELE</v>
      </c>
      <c r="C130" s="27" t="str">
        <f t="shared" si="20"/>
        <v>Lines Business</v>
      </c>
      <c r="D130" s="45">
        <f t="shared" si="14"/>
        <v>2.1453121857133506E-4</v>
      </c>
      <c r="E130" s="25">
        <f t="shared" si="15"/>
        <v>286342.91598066199</v>
      </c>
      <c r="F130" s="25">
        <f t="shared" si="9"/>
        <v>54.637925654980847</v>
      </c>
      <c r="G130" s="25">
        <f t="shared" si="10"/>
        <v>15645182.955181837</v>
      </c>
      <c r="H130" s="2"/>
      <c r="I130" s="45">
        <f t="shared" si="16"/>
        <v>2.0315966563331906E-4</v>
      </c>
      <c r="J130" s="25">
        <f t="shared" si="17"/>
        <v>286777.14552208758</v>
      </c>
      <c r="K130" s="60">
        <f t="shared" si="18"/>
        <v>0.97218665018900718</v>
      </c>
      <c r="L130" s="25">
        <f t="shared" si="11"/>
        <v>286342.91598066199</v>
      </c>
      <c r="M130" s="60">
        <f t="shared" si="19"/>
        <v>54.687143126457833</v>
      </c>
      <c r="N130" s="25">
        <f t="shared" si="12"/>
        <v>15659276.029481752</v>
      </c>
      <c r="O130" s="50"/>
    </row>
    <row r="131" spans="1:15" x14ac:dyDescent="0.2">
      <c r="A131" s="27" t="str">
        <f t="shared" si="20"/>
        <v>Wellington Electricity Lines Limited</v>
      </c>
      <c r="B131" s="27" t="str">
        <f t="shared" si="20"/>
        <v>UNET</v>
      </c>
      <c r="C131" s="27" t="str">
        <f t="shared" si="20"/>
        <v>Lines Business</v>
      </c>
      <c r="D131" s="45">
        <f t="shared" si="14"/>
        <v>2.3314704242518271E-4</v>
      </c>
      <c r="E131" s="25">
        <f t="shared" si="15"/>
        <v>557626.40198020311</v>
      </c>
      <c r="F131" s="25">
        <f t="shared" si="9"/>
        <v>54.637925654980847</v>
      </c>
      <c r="G131" s="25">
        <f t="shared" si="10"/>
        <v>30467549.894648802</v>
      </c>
      <c r="H131" s="2"/>
      <c r="I131" s="45">
        <f t="shared" si="16"/>
        <v>2.0315966563331906E-4</v>
      </c>
      <c r="J131" s="25">
        <f t="shared" si="17"/>
        <v>558873.99875115929</v>
      </c>
      <c r="K131" s="60">
        <f t="shared" si="18"/>
        <v>0.98290249322161316</v>
      </c>
      <c r="L131" s="25">
        <f t="shared" si="11"/>
        <v>557626.40198020311</v>
      </c>
      <c r="M131" s="60">
        <f t="shared" si="19"/>
        <v>54.687143126457833</v>
      </c>
      <c r="N131" s="25">
        <f t="shared" si="12"/>
        <v>30494994.856183078</v>
      </c>
      <c r="O131" s="50"/>
    </row>
    <row r="132" spans="1:15" x14ac:dyDescent="0.2">
      <c r="A132" s="27" t="str">
        <f t="shared" si="20"/>
        <v>Westpower Limited</v>
      </c>
      <c r="B132" s="27" t="str">
        <f t="shared" si="20"/>
        <v>WPOW</v>
      </c>
      <c r="C132" s="27" t="str">
        <f t="shared" si="20"/>
        <v>Lines Business</v>
      </c>
      <c r="D132" s="45">
        <f t="shared" si="14"/>
        <v>2.1120768815530643E-4</v>
      </c>
      <c r="E132" s="25">
        <f t="shared" si="15"/>
        <v>51405.451125993037</v>
      </c>
      <c r="F132" s="25">
        <f t="shared" si="9"/>
        <v>54.637925654980847</v>
      </c>
      <c r="G132" s="25">
        <f t="shared" si="10"/>
        <v>2808687.2168827592</v>
      </c>
      <c r="H132" s="2"/>
      <c r="I132" s="45">
        <f t="shared" si="16"/>
        <v>2.0315966563331906E-4</v>
      </c>
      <c r="J132" s="25">
        <f t="shared" si="17"/>
        <v>51480.686059065221</v>
      </c>
      <c r="K132" s="60">
        <f t="shared" si="18"/>
        <v>0.9630118561507649</v>
      </c>
      <c r="L132" s="25">
        <f t="shared" si="11"/>
        <v>51405.451125993037</v>
      </c>
      <c r="M132" s="60">
        <f t="shared" si="19"/>
        <v>54.687143126457833</v>
      </c>
      <c r="N132" s="25">
        <f t="shared" si="12"/>
        <v>2811217.2632073141</v>
      </c>
      <c r="O132" s="50"/>
    </row>
    <row r="133" spans="1:15" x14ac:dyDescent="0.2">
      <c r="A133" s="27" t="str">
        <f t="shared" si="20"/>
        <v>Whareroa Cogeneration Limited</v>
      </c>
      <c r="B133" s="27" t="str">
        <f t="shared" si="20"/>
        <v>KIWI</v>
      </c>
      <c r="C133" s="27" t="str">
        <f t="shared" si="20"/>
        <v>Direct Connect</v>
      </c>
      <c r="D133" s="45">
        <f t="shared" si="14"/>
        <v>1.8165706898815967E-4</v>
      </c>
      <c r="E133" s="25">
        <f t="shared" si="15"/>
        <v>28990.393522306949</v>
      </c>
      <c r="F133" s="25">
        <f t="shared" si="9"/>
        <v>54.637925654980847</v>
      </c>
      <c r="G133" s="25">
        <f t="shared" ref="G133" si="21">IFERROR(F133*E133,"")</f>
        <v>1583974.9659804455</v>
      </c>
      <c r="H133" s="2"/>
      <c r="I133" s="45">
        <f t="shared" si="16"/>
        <v>2.0315966563331906E-4</v>
      </c>
      <c r="J133" s="25">
        <f t="shared" si="17"/>
        <v>28990.393522306949</v>
      </c>
      <c r="K133" s="60">
        <f t="shared" si="18"/>
        <v>1</v>
      </c>
      <c r="L133" s="25">
        <f t="shared" ref="L133" si="22">IF(K133&lt;1,E133,J133)</f>
        <v>28990.393522306949</v>
      </c>
      <c r="M133" s="60">
        <f t="shared" si="19"/>
        <v>54.687143126457833</v>
      </c>
      <c r="N133" s="25">
        <f t="shared" ref="N133" si="23">IF(K133&lt;1,E133*M133,J133*M133)</f>
        <v>1585401.7998467362</v>
      </c>
      <c r="O133" s="50"/>
    </row>
    <row r="134" spans="1:15" x14ac:dyDescent="0.2">
      <c r="A134" s="27" t="str">
        <f t="shared" ref="A134:C134" si="24">A59</f>
        <v>Winstone Pulp International</v>
      </c>
      <c r="B134" s="27" t="str">
        <f t="shared" si="24"/>
        <v>WNST</v>
      </c>
      <c r="C134" s="27" t="str">
        <f t="shared" si="24"/>
        <v>Direct Connect</v>
      </c>
      <c r="D134" s="45">
        <f t="shared" si="14"/>
        <v>1.5133862505328744E-4</v>
      </c>
      <c r="E134" s="25">
        <f t="shared" si="15"/>
        <v>33862.250417155643</v>
      </c>
      <c r="F134" s="25">
        <f t="shared" si="9"/>
        <v>54.637925654980847</v>
      </c>
      <c r="G134" s="25">
        <f t="shared" si="10"/>
        <v>1850163.1208028942</v>
      </c>
      <c r="H134" s="2"/>
      <c r="I134" s="45">
        <f t="shared" si="16"/>
        <v>2.0315966563331906E-4</v>
      </c>
      <c r="J134" s="25">
        <f t="shared" si="17"/>
        <v>32994.122075163643</v>
      </c>
      <c r="K134" s="60">
        <f t="shared" si="18"/>
        <v>0.93034447718569824</v>
      </c>
      <c r="L134" s="25">
        <f t="shared" si="11"/>
        <v>33862.250417155643</v>
      </c>
      <c r="M134" s="60">
        <f t="shared" si="19"/>
        <v>54.687143126457833</v>
      </c>
      <c r="N134" s="25">
        <f t="shared" si="12"/>
        <v>1851829.7351469472</v>
      </c>
      <c r="O134" s="50"/>
    </row>
    <row r="135" spans="1:15" x14ac:dyDescent="0.2">
      <c r="A135" s="27" t="str">
        <f t="shared" ref="A135:B135" si="25">A60</f>
        <v>Kawerau Geothermal Limited</v>
      </c>
      <c r="B135" s="27" t="str">
        <f t="shared" si="25"/>
        <v>KWGL</v>
      </c>
      <c r="C135" s="27" t="str">
        <f t="shared" ref="C135:E135" si="26">C60</f>
        <v>Generator</v>
      </c>
      <c r="D135" s="27">
        <f t="shared" si="26"/>
        <v>0</v>
      </c>
      <c r="E135" s="27">
        <f t="shared" si="26"/>
        <v>0</v>
      </c>
      <c r="F135" s="27">
        <f t="shared" ref="F135:G135" si="27">F60</f>
        <v>0</v>
      </c>
      <c r="G135" s="27">
        <f t="shared" si="27"/>
        <v>0</v>
      </c>
      <c r="I135" s="27"/>
      <c r="J135" s="27"/>
      <c r="K135" s="27"/>
      <c r="L135" s="27"/>
      <c r="M135" s="27"/>
      <c r="N135" s="27"/>
    </row>
    <row r="136" spans="1:15" x14ac:dyDescent="0.2">
      <c r="A136" s="27" t="str">
        <f t="shared" ref="A136:B136" si="28">A61</f>
        <v>Oji Fibre Solutions (NZ) Ltd</v>
      </c>
      <c r="B136" s="27" t="str">
        <f t="shared" si="28"/>
        <v>CHHE</v>
      </c>
      <c r="C136" s="27" t="str">
        <f t="shared" ref="C136:E136" si="29">C61</f>
        <v>Direct Connect</v>
      </c>
      <c r="D136" s="27">
        <f t="shared" si="29"/>
        <v>0</v>
      </c>
      <c r="E136" s="27">
        <f t="shared" si="29"/>
        <v>0</v>
      </c>
      <c r="F136" s="27">
        <f t="shared" ref="F136:G136" si="30">F61</f>
        <v>0</v>
      </c>
      <c r="G136" s="27">
        <f t="shared" si="30"/>
        <v>0</v>
      </c>
      <c r="I136" s="27"/>
      <c r="J136" s="27"/>
      <c r="K136" s="27"/>
      <c r="L136" s="27"/>
      <c r="M136" s="27"/>
      <c r="N136" s="27"/>
    </row>
    <row r="137" spans="1:15" x14ac:dyDescent="0.2">
      <c r="A137" s="27" t="str">
        <f t="shared" ref="A137:B137" si="31">A62</f>
        <v>Resolution Development Ltd</v>
      </c>
      <c r="B137" s="27" t="str">
        <f t="shared" si="31"/>
        <v>SOLE</v>
      </c>
      <c r="C137" s="27" t="str">
        <f t="shared" ref="C137:E137" si="32">C62</f>
        <v>Generator</v>
      </c>
      <c r="D137" s="27">
        <f t="shared" si="32"/>
        <v>0</v>
      </c>
      <c r="E137" s="27">
        <f t="shared" si="32"/>
        <v>0</v>
      </c>
      <c r="F137" s="27">
        <f t="shared" ref="F137:G137" si="33">F62</f>
        <v>0</v>
      </c>
      <c r="G137" s="27">
        <f t="shared" si="33"/>
        <v>0</v>
      </c>
      <c r="I137" s="27"/>
      <c r="J137" s="27"/>
      <c r="K137" s="27"/>
      <c r="L137" s="27"/>
      <c r="M137" s="27"/>
      <c r="N137" s="27"/>
    </row>
    <row r="138" spans="1:15" x14ac:dyDescent="0.2">
      <c r="A138" s="27" t="str">
        <f t="shared" ref="A138:B140" si="34">A63</f>
        <v>Southern Generation GP Limited</v>
      </c>
      <c r="B138" s="27" t="str">
        <f t="shared" si="34"/>
        <v>SOU2</v>
      </c>
      <c r="C138" s="27" t="str">
        <f t="shared" ref="C138:E138" si="35">C63</f>
        <v>Generator</v>
      </c>
      <c r="D138" s="27">
        <f t="shared" si="35"/>
        <v>0</v>
      </c>
      <c r="E138" s="27">
        <f t="shared" si="35"/>
        <v>0</v>
      </c>
      <c r="F138" s="27">
        <f t="shared" ref="F138:G138" si="36">F63</f>
        <v>0</v>
      </c>
      <c r="G138" s="27">
        <f t="shared" si="36"/>
        <v>0</v>
      </c>
      <c r="I138" s="27"/>
      <c r="J138" s="27"/>
      <c r="K138" s="27"/>
      <c r="L138" s="27"/>
      <c r="M138" s="27"/>
      <c r="N138" s="27"/>
    </row>
    <row r="139" spans="1:15" x14ac:dyDescent="0.2">
      <c r="A139" s="27" t="str">
        <f t="shared" si="34"/>
        <v>Waverley Windfarm Limited</v>
      </c>
      <c r="B139" s="27" t="str">
        <f t="shared" si="34"/>
        <v>WAV1</v>
      </c>
      <c r="C139" s="27" t="str">
        <f t="shared" ref="C139:E140" si="37">C64</f>
        <v>Generator</v>
      </c>
      <c r="D139" s="27">
        <f t="shared" si="37"/>
        <v>0</v>
      </c>
      <c r="E139" s="27">
        <f t="shared" si="37"/>
        <v>0</v>
      </c>
      <c r="F139" s="27">
        <f t="shared" ref="F139:G140" si="38">F64</f>
        <v>0</v>
      </c>
      <c r="G139" s="27">
        <f t="shared" si="38"/>
        <v>0</v>
      </c>
      <c r="I139" s="27"/>
      <c r="J139" s="27"/>
      <c r="K139" s="27"/>
      <c r="L139" s="27"/>
      <c r="M139" s="27"/>
      <c r="N139" s="27"/>
    </row>
    <row r="140" spans="1:15" x14ac:dyDescent="0.2">
      <c r="A140" s="27" t="str">
        <f t="shared" si="34"/>
        <v>Mercury NZ Limited</v>
      </c>
      <c r="B140" s="27" t="str">
        <f t="shared" si="34"/>
        <v>SCGL</v>
      </c>
      <c r="C140" s="27" t="str">
        <f t="shared" si="37"/>
        <v>Generator</v>
      </c>
      <c r="D140" s="27">
        <f t="shared" si="37"/>
        <v>0</v>
      </c>
      <c r="E140" s="27">
        <f t="shared" si="37"/>
        <v>0</v>
      </c>
      <c r="F140" s="27">
        <f t="shared" si="38"/>
        <v>0</v>
      </c>
      <c r="G140" s="27">
        <f t="shared" si="38"/>
        <v>0</v>
      </c>
      <c r="I140" s="27"/>
      <c r="J140" s="27"/>
      <c r="K140" s="27"/>
      <c r="L140" s="27"/>
      <c r="M140" s="27"/>
      <c r="N140" s="27"/>
    </row>
    <row r="144" spans="1:15" x14ac:dyDescent="0.2">
      <c r="A144" s="98" t="s">
        <v>602</v>
      </c>
      <c r="B144" s="98"/>
      <c r="C144" s="98"/>
      <c r="D144" s="98"/>
      <c r="E144" s="98">
        <f>SUM(E85:E134)</f>
        <v>8315088.7277493253</v>
      </c>
      <c r="F144" s="98"/>
      <c r="G144" s="98">
        <f>SUM(G85:G134)</f>
        <v>454319199.72133696</v>
      </c>
      <c r="H144" s="98"/>
      <c r="I144" s="98"/>
      <c r="J144" s="98">
        <f>SUM(J85:J134)</f>
        <v>8298315.7989681987</v>
      </c>
      <c r="K144" s="98"/>
      <c r="L144" s="98">
        <f>SUM(L85:L134)</f>
        <v>8307605.2934558149</v>
      </c>
      <c r="M144" s="98"/>
      <c r="N144" s="98">
        <f>SUM(N85:N135)</f>
        <v>454319199.72133684</v>
      </c>
    </row>
    <row r="145" spans="1:8" x14ac:dyDescent="0.2">
      <c r="G145" s="2"/>
    </row>
    <row r="146" spans="1:8" x14ac:dyDescent="0.2">
      <c r="G146" s="2"/>
    </row>
    <row r="149" spans="1:8" ht="26.25" x14ac:dyDescent="0.4">
      <c r="A149" s="12" t="s">
        <v>603</v>
      </c>
    </row>
    <row r="150" spans="1:8" x14ac:dyDescent="0.2">
      <c r="D150" s="52"/>
    </row>
    <row r="151" spans="1:8" ht="15" x14ac:dyDescent="0.25">
      <c r="A151" s="54"/>
      <c r="B151" s="4" t="s">
        <v>604</v>
      </c>
      <c r="C151" s="56"/>
    </row>
    <row r="152" spans="1:8" ht="15" x14ac:dyDescent="0.25">
      <c r="D152" s="59"/>
      <c r="E152" s="59"/>
    </row>
    <row r="153" spans="1:8" ht="30" x14ac:dyDescent="0.25">
      <c r="B153" s="21" t="s">
        <v>53</v>
      </c>
      <c r="C153" s="20" t="s">
        <v>52</v>
      </c>
      <c r="D153" s="62" t="s">
        <v>605</v>
      </c>
      <c r="E153" s="62" t="s">
        <v>591</v>
      </c>
      <c r="F153" s="62" t="s">
        <v>592</v>
      </c>
      <c r="G153" s="57" t="s">
        <v>589</v>
      </c>
      <c r="H153" s="57" t="s">
        <v>593</v>
      </c>
    </row>
    <row r="154" spans="1:8" x14ac:dyDescent="0.2">
      <c r="B154" s="123" t="str">
        <f>A10</f>
        <v>Alpine Energy Ltd</v>
      </c>
      <c r="C154" s="5" t="str">
        <f>C10</f>
        <v>Lines Business</v>
      </c>
      <c r="D154" s="100">
        <f>'Calculations - Part 1'!J8</f>
        <v>8611141.6574183553</v>
      </c>
      <c r="E154" s="100">
        <f>'Calculations - Part 2'!G85</f>
        <v>8824094.7794999555</v>
      </c>
      <c r="F154" s="100">
        <f>'Calculations - Part 2'!N85</f>
        <v>8839670.8543746732</v>
      </c>
      <c r="G154" s="100">
        <f t="shared" ref="G154:G185" si="39">IF(ISERROR(F154-E154),"",F154-E154)</f>
        <v>15576.074874717742</v>
      </c>
      <c r="H154" s="101">
        <f t="shared" ref="H154:H185" si="40">IF(ISERROR(F154/E154-1),"",F154/E154-1)</f>
        <v>1.7651753821710248E-3</v>
      </c>
    </row>
    <row r="155" spans="1:8" x14ac:dyDescent="0.2">
      <c r="B155" s="123" t="str">
        <f t="shared" ref="B155:B209" si="41">A11</f>
        <v>Aurora Energy Limited</v>
      </c>
      <c r="C155" s="5" t="str">
        <f t="shared" ref="C155:C209" si="42">C11</f>
        <v>Lines Business</v>
      </c>
      <c r="D155" s="100">
        <f>'Calculations - Part 1'!J9</f>
        <v>17151247.120922875</v>
      </c>
      <c r="E155" s="100">
        <f>'Calculations - Part 2'!G86</f>
        <v>17286577.853552938</v>
      </c>
      <c r="F155" s="100">
        <f>'Calculations - Part 2'!N86</f>
        <v>17292187.154571645</v>
      </c>
      <c r="G155" s="100">
        <f t="shared" si="39"/>
        <v>5609.3010187074542</v>
      </c>
      <c r="H155" s="101">
        <f t="shared" si="40"/>
        <v>3.2448880664692759E-4</v>
      </c>
    </row>
    <row r="156" spans="1:8" x14ac:dyDescent="0.2">
      <c r="B156" s="123" t="str">
        <f t="shared" si="41"/>
        <v>Beach Energy Resources NZ (Holdings) Ltd</v>
      </c>
      <c r="C156" s="5" t="str">
        <f t="shared" si="42"/>
        <v>Direct Connect</v>
      </c>
      <c r="D156" s="100">
        <f>'Calculations - Part 1'!J10</f>
        <v>500022.9979567944</v>
      </c>
      <c r="E156" s="100">
        <f>'Calculations - Part 2'!G87</f>
        <v>617970.65613822907</v>
      </c>
      <c r="F156" s="100">
        <f>'Calculations - Part 2'!N87</f>
        <v>657604.31295457913</v>
      </c>
      <c r="G156" s="100">
        <f t="shared" si="39"/>
        <v>39633.656816350063</v>
      </c>
      <c r="H156" s="101">
        <f t="shared" si="40"/>
        <v>6.4135176035744923E-2</v>
      </c>
    </row>
    <row r="157" spans="1:8" x14ac:dyDescent="0.2">
      <c r="B157" s="123" t="str">
        <f t="shared" si="41"/>
        <v>Buller Electricity Ltd</v>
      </c>
      <c r="C157" s="5" t="str">
        <f t="shared" si="42"/>
        <v>Lines Business</v>
      </c>
      <c r="D157" s="100">
        <f>'Calculations - Part 1'!J11</f>
        <v>684781.60185946384</v>
      </c>
      <c r="E157" s="100">
        <f>'Calculations - Part 2'!G88</f>
        <v>571510.57614948624</v>
      </c>
      <c r="F157" s="100">
        <f>'Calculations - Part 2'!N88</f>
        <v>572025.3889858675</v>
      </c>
      <c r="G157" s="100">
        <f t="shared" si="39"/>
        <v>514.81283638125751</v>
      </c>
      <c r="H157" s="101">
        <f t="shared" si="40"/>
        <v>9.0079319240210509E-4</v>
      </c>
    </row>
    <row r="158" spans="1:8" x14ac:dyDescent="0.2">
      <c r="B158" s="123" t="str">
        <f t="shared" si="41"/>
        <v>Centralines Limited</v>
      </c>
      <c r="C158" s="5" t="str">
        <f t="shared" si="42"/>
        <v>Lines Business</v>
      </c>
      <c r="D158" s="100">
        <f>'Calculations - Part 1'!J12</f>
        <v>1112521.3473809054</v>
      </c>
      <c r="E158" s="100">
        <f>'Calculations - Part 2'!G89</f>
        <v>1147574.8666338813</v>
      </c>
      <c r="F158" s="100">
        <f>'Calculations - Part 2'!N89</f>
        <v>1153797.89308408</v>
      </c>
      <c r="G158" s="100">
        <f t="shared" si="39"/>
        <v>6223.0264501986094</v>
      </c>
      <c r="H158" s="101">
        <f t="shared" si="40"/>
        <v>5.4227629335001915E-3</v>
      </c>
    </row>
    <row r="159" spans="1:8" x14ac:dyDescent="0.2">
      <c r="B159" s="123" t="str">
        <f t="shared" si="41"/>
        <v>Contact Energy Limited</v>
      </c>
      <c r="C159" s="5" t="str">
        <f t="shared" si="42"/>
        <v>Generator</v>
      </c>
      <c r="D159" s="100">
        <f>'Calculations - Part 1'!J13</f>
        <v>1304762.9621140354</v>
      </c>
      <c r="E159" s="100">
        <f>'Calculations - Part 2'!G90</f>
        <v>1250423.884764435</v>
      </c>
      <c r="F159" s="100">
        <f>'Calculations - Part 2'!N90</f>
        <v>1251550.2580874478</v>
      </c>
      <c r="G159" s="100">
        <f t="shared" si="39"/>
        <v>1126.3733230128419</v>
      </c>
      <c r="H159" s="101">
        <f t="shared" si="40"/>
        <v>9.0079319240210509E-4</v>
      </c>
    </row>
    <row r="160" spans="1:8" x14ac:dyDescent="0.2">
      <c r="B160" s="123" t="str">
        <f t="shared" si="41"/>
        <v>Counties Energy Ltd</v>
      </c>
      <c r="C160" s="5" t="str">
        <f t="shared" si="42"/>
        <v>Lines Business</v>
      </c>
      <c r="D160" s="100">
        <f>'Calculations - Part 1'!J14</f>
        <v>6851778.0705929305</v>
      </c>
      <c r="E160" s="100">
        <f>'Calculations - Part 2'!G91</f>
        <v>7638589.9337333106</v>
      </c>
      <c r="F160" s="100">
        <f>'Calculations - Part 2'!N91</f>
        <v>7615704.139814388</v>
      </c>
      <c r="G160" s="100">
        <f t="shared" si="39"/>
        <v>-22885.793918922544</v>
      </c>
      <c r="H160" s="101">
        <f t="shared" si="40"/>
        <v>-2.9960757309218655E-3</v>
      </c>
    </row>
    <row r="161" spans="2:8" x14ac:dyDescent="0.2">
      <c r="B161" s="123" t="str">
        <f t="shared" si="41"/>
        <v>Daiken Southland Limited</v>
      </c>
      <c r="C161" s="5" t="str">
        <f t="shared" si="42"/>
        <v>Direct Connect</v>
      </c>
      <c r="D161" s="100">
        <f>'Calculations - Part 1'!J15</f>
        <v>502402.71794876031</v>
      </c>
      <c r="E161" s="100">
        <f>'Calculations - Part 2'!G92</f>
        <v>502753.20599724923</v>
      </c>
      <c r="F161" s="100">
        <f>'Calculations - Part 2'!N92</f>
        <v>503206.08266266994</v>
      </c>
      <c r="G161" s="100">
        <f t="shared" si="39"/>
        <v>452.87666542071383</v>
      </c>
      <c r="H161" s="101">
        <f t="shared" si="40"/>
        <v>9.0079319240232714E-4</v>
      </c>
    </row>
    <row r="162" spans="2:8" x14ac:dyDescent="0.2">
      <c r="B162" s="123" t="str">
        <f t="shared" si="41"/>
        <v>EA Networks</v>
      </c>
      <c r="C162" s="5" t="str">
        <f t="shared" si="42"/>
        <v>Lines Business</v>
      </c>
      <c r="D162" s="100">
        <f>'Calculations - Part 1'!J16</f>
        <v>8962585.065821778</v>
      </c>
      <c r="E162" s="100">
        <f>'Calculations - Part 2'!G93</f>
        <v>9099704.4965393692</v>
      </c>
      <c r="F162" s="100">
        <f>'Calculations - Part 2'!N93</f>
        <v>9077770.6259886138</v>
      </c>
      <c r="G162" s="100">
        <f t="shared" si="39"/>
        <v>-21933.870550755411</v>
      </c>
      <c r="H162" s="101">
        <f t="shared" si="40"/>
        <v>-2.4103937176308543E-3</v>
      </c>
    </row>
    <row r="163" spans="2:8" x14ac:dyDescent="0.2">
      <c r="B163" s="123" t="str">
        <f t="shared" si="41"/>
        <v>Electra Limited</v>
      </c>
      <c r="C163" s="5" t="str">
        <f t="shared" si="42"/>
        <v>Lines Business</v>
      </c>
      <c r="D163" s="100">
        <f>'Calculations - Part 1'!J17</f>
        <v>6062361.5177724045</v>
      </c>
      <c r="E163" s="100">
        <f>'Calculations - Part 2'!G94</f>
        <v>6257052.6843106346</v>
      </c>
      <c r="F163" s="100">
        <f>'Calculations - Part 2'!N94</f>
        <v>6227342.2877515191</v>
      </c>
      <c r="G163" s="100">
        <f t="shared" si="39"/>
        <v>-29710.396559115499</v>
      </c>
      <c r="H163" s="101">
        <f t="shared" si="40"/>
        <v>-4.7483053217073357E-3</v>
      </c>
    </row>
    <row r="164" spans="2:8" x14ac:dyDescent="0.2">
      <c r="B164" s="123" t="str">
        <f t="shared" si="41"/>
        <v>Firstlight Network Limited</v>
      </c>
      <c r="C164" s="5" t="str">
        <f t="shared" si="42"/>
        <v>Lines Business</v>
      </c>
      <c r="D164" s="100">
        <f>'Calculations - Part 1'!J18</f>
        <v>3289851.3661205336</v>
      </c>
      <c r="E164" s="100">
        <f>'Calculations - Part 2'!G95</f>
        <v>3350834.4364576442</v>
      </c>
      <c r="F164" s="100">
        <f>'Calculations - Part 2'!N95</f>
        <v>3355596.6038027601</v>
      </c>
      <c r="G164" s="100">
        <f t="shared" si="39"/>
        <v>4762.1673451159149</v>
      </c>
      <c r="H164" s="101">
        <f t="shared" si="40"/>
        <v>1.4211884936190522E-3</v>
      </c>
    </row>
    <row r="165" spans="2:8" x14ac:dyDescent="0.2">
      <c r="B165" s="123" t="str">
        <f t="shared" si="41"/>
        <v>Genesis Energy Ltd</v>
      </c>
      <c r="C165" s="5" t="str">
        <f t="shared" si="42"/>
        <v>Generator</v>
      </c>
      <c r="D165" s="100">
        <f>'Calculations - Part 1'!J19</f>
        <v>668414.40077324491</v>
      </c>
      <c r="E165" s="100">
        <f>'Calculations - Part 2'!G96</f>
        <v>705390.65206166229</v>
      </c>
      <c r="F165" s="100">
        <f>'Calculations - Part 2'!N96</f>
        <v>673148.47820198163</v>
      </c>
      <c r="G165" s="100">
        <f t="shared" si="39"/>
        <v>-32242.173859680654</v>
      </c>
      <c r="H165" s="101">
        <f t="shared" si="40"/>
        <v>-4.5708252250643899E-2</v>
      </c>
    </row>
    <row r="166" spans="2:8" x14ac:dyDescent="0.2">
      <c r="B166" s="123" t="str">
        <f t="shared" si="41"/>
        <v>Horizon Energy Distribution Ltd</v>
      </c>
      <c r="C166" s="5" t="str">
        <f t="shared" si="42"/>
        <v>Lines Business</v>
      </c>
      <c r="D166" s="100">
        <f>'Calculations - Part 1'!J20</f>
        <v>5123610.5684226612</v>
      </c>
      <c r="E166" s="100">
        <f>'Calculations - Part 2'!G97</f>
        <v>4876859.1352657918</v>
      </c>
      <c r="F166" s="100">
        <f>'Calculations - Part 2'!N97</f>
        <v>4881252.1767751435</v>
      </c>
      <c r="G166" s="100">
        <f t="shared" si="39"/>
        <v>4393.0415093516931</v>
      </c>
      <c r="H166" s="101">
        <f t="shared" si="40"/>
        <v>9.0079319240210509E-4</v>
      </c>
    </row>
    <row r="167" spans="2:8" x14ac:dyDescent="0.2">
      <c r="B167" s="123" t="str">
        <f t="shared" si="41"/>
        <v>KiwiRail Holdings Limited</v>
      </c>
      <c r="C167" s="5" t="str">
        <f t="shared" si="42"/>
        <v>Direct Connect</v>
      </c>
      <c r="D167" s="100">
        <f>'Calculations - Part 1'!J21</f>
        <v>2415512.0728049492</v>
      </c>
      <c r="E167" s="100">
        <f>'Calculations - Part 2'!G98</f>
        <v>2077530.8125844761</v>
      </c>
      <c r="F167" s="100">
        <f>'Calculations - Part 2'!N98</f>
        <v>2079402.238197458</v>
      </c>
      <c r="G167" s="100">
        <f t="shared" si="39"/>
        <v>1871.4256129818968</v>
      </c>
      <c r="H167" s="101">
        <f t="shared" si="40"/>
        <v>9.0079319240210509E-4</v>
      </c>
    </row>
    <row r="168" spans="2:8" x14ac:dyDescent="0.2">
      <c r="B168" s="123" t="str">
        <f t="shared" si="41"/>
        <v>Mainpower New Zealand Limited</v>
      </c>
      <c r="C168" s="5" t="str">
        <f t="shared" si="42"/>
        <v>Lines Business</v>
      </c>
      <c r="D168" s="100">
        <f>'Calculations - Part 1'!J22</f>
        <v>7290677.8294597091</v>
      </c>
      <c r="E168" s="100">
        <f>'Calculations - Part 2'!G99</f>
        <v>7488247.5553527316</v>
      </c>
      <c r="F168" s="100">
        <f>'Calculations - Part 2'!N99</f>
        <v>7490401.3635343444</v>
      </c>
      <c r="G168" s="100">
        <f t="shared" si="39"/>
        <v>2153.8081816127524</v>
      </c>
      <c r="H168" s="101">
        <f t="shared" si="40"/>
        <v>2.8762513067204232E-4</v>
      </c>
    </row>
    <row r="169" spans="2:8" x14ac:dyDescent="0.2">
      <c r="B169" s="123" t="str">
        <f t="shared" si="41"/>
        <v>Manawa Energy Ltd</v>
      </c>
      <c r="C169" s="5" t="str">
        <f t="shared" si="42"/>
        <v>Generator</v>
      </c>
      <c r="D169" s="100">
        <f>'Calculations - Part 1'!J23</f>
        <v>32428.53302137601</v>
      </c>
      <c r="E169" s="100">
        <f>'Calculations - Part 2'!G100</f>
        <v>32491.316033687621</v>
      </c>
      <c r="F169" s="100">
        <f>'Calculations - Part 2'!N100</f>
        <v>32520.583989982955</v>
      </c>
      <c r="G169" s="100">
        <f t="shared" si="39"/>
        <v>29.267956295334443</v>
      </c>
      <c r="H169" s="102">
        <f t="shared" si="40"/>
        <v>9.0079319240210509E-4</v>
      </c>
    </row>
    <row r="170" spans="2:8" x14ac:dyDescent="0.2">
      <c r="B170" s="123" t="str">
        <f t="shared" si="41"/>
        <v>Marlborough Lines Limited</v>
      </c>
      <c r="C170" s="5" t="str">
        <f t="shared" si="42"/>
        <v>Lines Business</v>
      </c>
      <c r="D170" s="100">
        <f>'Calculations - Part 1'!J24</f>
        <v>4012003.4719788083</v>
      </c>
      <c r="E170" s="100">
        <f>'Calculations - Part 2'!G101</f>
        <v>4125590.1072559413</v>
      </c>
      <c r="F170" s="100">
        <f>'Calculations - Part 2'!N101</f>
        <v>4140894.6169839222</v>
      </c>
      <c r="G170" s="100">
        <f t="shared" si="39"/>
        <v>15304.509727980942</v>
      </c>
      <c r="H170" s="101">
        <f t="shared" si="40"/>
        <v>3.7096534871614573E-3</v>
      </c>
    </row>
    <row r="171" spans="2:8" x14ac:dyDescent="0.2">
      <c r="B171" s="123" t="str">
        <f t="shared" si="41"/>
        <v>MEL (Te Apiti) Limited</v>
      </c>
      <c r="C171" s="5" t="str">
        <f t="shared" si="42"/>
        <v>Generator</v>
      </c>
      <c r="D171" s="100">
        <f>'Calculations - Part 1'!J25</f>
        <v>51667.119787704971</v>
      </c>
      <c r="E171" s="100">
        <f>'Calculations - Part 2'!G102</f>
        <v>0</v>
      </c>
      <c r="F171" s="100">
        <f>'Calculations - Part 2'!N102</f>
        <v>0</v>
      </c>
      <c r="G171" s="100">
        <f t="shared" si="39"/>
        <v>0</v>
      </c>
      <c r="H171" s="101" t="str">
        <f t="shared" si="40"/>
        <v/>
      </c>
    </row>
    <row r="172" spans="2:8" x14ac:dyDescent="0.2">
      <c r="B172" s="123" t="str">
        <f t="shared" si="41"/>
        <v>MEL (West Wind) Limited</v>
      </c>
      <c r="C172" s="5" t="str">
        <f t="shared" si="42"/>
        <v>Generator</v>
      </c>
      <c r="D172" s="100">
        <f>'Calculations - Part 1'!J26</f>
        <v>63921.105160772699</v>
      </c>
      <c r="E172" s="100">
        <f>'Calculations - Part 2'!G103</f>
        <v>0</v>
      </c>
      <c r="F172" s="100">
        <f>'Calculations - Part 2'!N103</f>
        <v>0</v>
      </c>
      <c r="G172" s="100">
        <f t="shared" si="39"/>
        <v>0</v>
      </c>
      <c r="H172" s="101" t="str">
        <f t="shared" si="40"/>
        <v/>
      </c>
    </row>
    <row r="173" spans="2:8" x14ac:dyDescent="0.2">
      <c r="B173" s="123" t="str">
        <f t="shared" si="41"/>
        <v>Mercury NZ Limited</v>
      </c>
      <c r="C173" s="5" t="str">
        <f t="shared" si="42"/>
        <v>Generator</v>
      </c>
      <c r="D173" s="100">
        <f>'Calculations - Part 1'!J27</f>
        <v>1779077.7202993359</v>
      </c>
      <c r="E173" s="100">
        <f>'Calculations - Part 2'!G104</f>
        <v>2165232.2675553169</v>
      </c>
      <c r="F173" s="100">
        <f>'Calculations - Part 2'!N104</f>
        <v>1963105.7749931526</v>
      </c>
      <c r="G173" s="100">
        <f t="shared" si="39"/>
        <v>-202126.49256216432</v>
      </c>
      <c r="H173" s="101">
        <f t="shared" si="40"/>
        <v>-9.3350951577300223E-2</v>
      </c>
    </row>
    <row r="174" spans="2:8" x14ac:dyDescent="0.2">
      <c r="B174" s="123" t="str">
        <f t="shared" si="41"/>
        <v>Mercury SPV Limited</v>
      </c>
      <c r="C174" s="5" t="str">
        <f t="shared" si="42"/>
        <v>Generator</v>
      </c>
      <c r="D174" s="100" t="str">
        <f>'Calculations - Part 1'!J28</f>
        <v/>
      </c>
      <c r="E174" s="100" t="str">
        <f>'Calculations - Part 2'!G105</f>
        <v/>
      </c>
      <c r="F174" s="100">
        <f>'Calculations - Part 2'!N105</f>
        <v>0</v>
      </c>
      <c r="G174" s="100" t="str">
        <f t="shared" si="39"/>
        <v/>
      </c>
      <c r="H174" s="101" t="str">
        <f t="shared" si="40"/>
        <v/>
      </c>
    </row>
    <row r="175" spans="2:8" x14ac:dyDescent="0.2">
      <c r="B175" s="123" t="str">
        <f t="shared" si="41"/>
        <v>Meridian Energy Limited</v>
      </c>
      <c r="C175" s="5" t="str">
        <f t="shared" si="42"/>
        <v>Generator</v>
      </c>
      <c r="D175" s="100">
        <f>'Calculations - Part 1'!J29</f>
        <v>1413474.0095601985</v>
      </c>
      <c r="E175" s="100">
        <f>'Calculations - Part 2'!G106</f>
        <v>1277189.1277207076</v>
      </c>
      <c r="F175" s="100">
        <f>'Calculations - Part 2'!N106</f>
        <v>1278339.6109923685</v>
      </c>
      <c r="G175" s="100">
        <f t="shared" si="39"/>
        <v>1150.4832716609817</v>
      </c>
      <c r="H175" s="101">
        <f t="shared" si="40"/>
        <v>9.0079319240232714E-4</v>
      </c>
    </row>
    <row r="176" spans="2:8" x14ac:dyDescent="0.2">
      <c r="B176" s="123" t="str">
        <f t="shared" si="41"/>
        <v>Methanex New Zealand Ltd</v>
      </c>
      <c r="C176" s="5" t="str">
        <f t="shared" si="42"/>
        <v>Direct Connect</v>
      </c>
      <c r="D176" s="100">
        <f>'Calculations - Part 1'!J30</f>
        <v>496101.65543170745</v>
      </c>
      <c r="E176" s="100">
        <f>'Calculations - Part 2'!G107</f>
        <v>490543.17246977455</v>
      </c>
      <c r="F176" s="100">
        <f>'Calculations - Part 2'!N107</f>
        <v>490985.05042011471</v>
      </c>
      <c r="G176" s="100">
        <f t="shared" si="39"/>
        <v>441.87795034016017</v>
      </c>
      <c r="H176" s="101">
        <f t="shared" si="40"/>
        <v>9.0079319240232714E-4</v>
      </c>
    </row>
    <row r="177" spans="2:14" x14ac:dyDescent="0.2">
      <c r="B177" s="123" t="str">
        <f t="shared" si="41"/>
        <v>Nelson Electricity Ltd</v>
      </c>
      <c r="C177" s="5" t="str">
        <f t="shared" si="42"/>
        <v>Lines Business</v>
      </c>
      <c r="D177" s="100">
        <f>'Calculations - Part 1'!J31</f>
        <v>762639.39887567947</v>
      </c>
      <c r="E177" s="100">
        <f>'Calculations - Part 2'!G108</f>
        <v>743284.47085437842</v>
      </c>
      <c r="F177" s="100">
        <f>'Calculations - Part 2'!N108</f>
        <v>743954.01644574234</v>
      </c>
      <c r="G177" s="100">
        <f t="shared" si="39"/>
        <v>669.54559136391617</v>
      </c>
      <c r="H177" s="101">
        <f t="shared" si="40"/>
        <v>9.0079319240232714E-4</v>
      </c>
    </row>
    <row r="178" spans="2:14" x14ac:dyDescent="0.2">
      <c r="B178" s="123" t="str">
        <f t="shared" si="41"/>
        <v>Network Tasman Limited</v>
      </c>
      <c r="C178" s="5" t="str">
        <f t="shared" si="42"/>
        <v>Lines Business</v>
      </c>
      <c r="D178" s="100">
        <f>'Calculations - Part 1'!J32</f>
        <v>8001810.8460165923</v>
      </c>
      <c r="E178" s="100">
        <f>'Calculations - Part 2'!G109</f>
        <v>8172527.4378182217</v>
      </c>
      <c r="F178" s="100">
        <f>'Calculations - Part 2'!N109</f>
        <v>8186044.8194366125</v>
      </c>
      <c r="G178" s="100">
        <f t="shared" si="39"/>
        <v>13517.381618390791</v>
      </c>
      <c r="H178" s="101">
        <f t="shared" si="40"/>
        <v>1.6540025984910223E-3</v>
      </c>
    </row>
    <row r="179" spans="2:14" x14ac:dyDescent="0.2">
      <c r="B179" s="123" t="str">
        <f t="shared" si="41"/>
        <v>Network Waitaki Limited</v>
      </c>
      <c r="C179" s="5" t="str">
        <f t="shared" si="42"/>
        <v>Lines Business</v>
      </c>
      <c r="D179" s="100">
        <f>'Calculations - Part 1'!J33</f>
        <v>3474472.6913649514</v>
      </c>
      <c r="E179" s="100">
        <f>'Calculations - Part 2'!G110</f>
        <v>3649729.3480628724</v>
      </c>
      <c r="F179" s="100">
        <f>'Calculations - Part 2'!N110</f>
        <v>3625511.2177521363</v>
      </c>
      <c r="G179" s="100">
        <f t="shared" si="39"/>
        <v>-24218.130310736131</v>
      </c>
      <c r="H179" s="101">
        <f t="shared" si="40"/>
        <v>-6.6355962322494078E-3</v>
      </c>
    </row>
    <row r="180" spans="2:14" x14ac:dyDescent="0.2">
      <c r="B180" s="123" t="str">
        <f t="shared" si="41"/>
        <v>New Zealand Steel Limited</v>
      </c>
      <c r="C180" s="5" t="str">
        <f t="shared" si="42"/>
        <v>Direct Connect</v>
      </c>
      <c r="D180" s="100">
        <f>'Calculations - Part 1'!J34</f>
        <v>8651586.369973138</v>
      </c>
      <c r="E180" s="100">
        <f>'Calculations - Part 2'!G111</f>
        <v>8612586.5825998615</v>
      </c>
      <c r="F180" s="100">
        <f>'Calculations - Part 2'!N111</f>
        <v>8620344.7419624422</v>
      </c>
      <c r="G180" s="100">
        <f t="shared" si="39"/>
        <v>7758.1593625806272</v>
      </c>
      <c r="H180" s="101">
        <f t="shared" si="40"/>
        <v>9.0079319240232714E-4</v>
      </c>
    </row>
    <row r="181" spans="2:14" x14ac:dyDescent="0.2">
      <c r="B181" s="123" t="str">
        <f t="shared" si="41"/>
        <v>Nga Awa Purua Joint Venture</v>
      </c>
      <c r="C181" s="5" t="str">
        <f t="shared" si="42"/>
        <v>Generator</v>
      </c>
      <c r="D181" s="100">
        <f>'Calculations - Part 1'!J35</f>
        <v>287341.7545293388</v>
      </c>
      <c r="E181" s="100">
        <f>'Calculations - Part 2'!G112</f>
        <v>300121.56275342853</v>
      </c>
      <c r="F181" s="100">
        <f>'Calculations - Part 2'!N112</f>
        <v>288207.42349013174</v>
      </c>
      <c r="G181" s="100">
        <f t="shared" si="39"/>
        <v>-11914.139263296791</v>
      </c>
      <c r="H181" s="101">
        <f t="shared" si="40"/>
        <v>-3.9697711667205704E-2</v>
      </c>
    </row>
    <row r="182" spans="2:14" x14ac:dyDescent="0.2">
      <c r="B182" s="123" t="str">
        <f t="shared" si="41"/>
        <v>Ngatamariki Geothermal Ltd</v>
      </c>
      <c r="C182" s="5" t="str">
        <f t="shared" si="42"/>
        <v>Generator</v>
      </c>
      <c r="D182" s="100">
        <f>'Calculations - Part 1'!J36</f>
        <v>87475.39450608044</v>
      </c>
      <c r="E182" s="100">
        <f>'Calculations - Part 2'!G113</f>
        <v>0</v>
      </c>
      <c r="F182" s="100">
        <f>'Calculations - Part 2'!N113</f>
        <v>0</v>
      </c>
      <c r="G182" s="100">
        <f t="shared" si="39"/>
        <v>0</v>
      </c>
      <c r="H182" s="101" t="str">
        <f t="shared" si="40"/>
        <v/>
      </c>
    </row>
    <row r="183" spans="2:14" x14ac:dyDescent="0.2">
      <c r="B183" s="123" t="str">
        <f t="shared" si="41"/>
        <v>Northpower Limited</v>
      </c>
      <c r="C183" s="5" t="str">
        <f t="shared" si="42"/>
        <v>Lines Business</v>
      </c>
      <c r="D183" s="100">
        <f>'Calculations - Part 1'!J37</f>
        <v>9880357.2693444304</v>
      </c>
      <c r="E183" s="100">
        <f>'Calculations - Part 2'!G114</f>
        <v>9551233.8251603264</v>
      </c>
      <c r="F183" s="100">
        <f>'Calculations - Part 2'!N114</f>
        <v>9559837.5115690716</v>
      </c>
      <c r="G183" s="100">
        <f t="shared" si="39"/>
        <v>8603.6864087451249</v>
      </c>
      <c r="H183" s="101">
        <f t="shared" si="40"/>
        <v>9.0079319240210509E-4</v>
      </c>
      <c r="I183" s="1"/>
      <c r="J183" s="1"/>
      <c r="K183" s="1"/>
      <c r="L183" s="1"/>
      <c r="M183" s="1"/>
    </row>
    <row r="184" spans="2:14" x14ac:dyDescent="0.2">
      <c r="B184" s="123" t="str">
        <f t="shared" si="41"/>
        <v>Nova Energy Limited</v>
      </c>
      <c r="C184" s="5" t="str">
        <f t="shared" si="42"/>
        <v>Generator</v>
      </c>
      <c r="D184" s="100">
        <f>'Calculations - Part 1'!J38</f>
        <v>443705.69608718174</v>
      </c>
      <c r="E184" s="100">
        <f>'Calculations - Part 2'!G115</f>
        <v>334437.96029961418</v>
      </c>
      <c r="F184" s="100">
        <f>'Calculations - Part 2'!N115</f>
        <v>334739.21973753296</v>
      </c>
      <c r="G184" s="100">
        <f t="shared" si="39"/>
        <v>301.25943791877944</v>
      </c>
      <c r="H184" s="101">
        <f t="shared" si="40"/>
        <v>9.0079319240232714E-4</v>
      </c>
      <c r="I184" s="1"/>
      <c r="J184" s="1"/>
      <c r="K184" s="1"/>
      <c r="L184" s="1"/>
      <c r="M184" s="1"/>
    </row>
    <row r="185" spans="2:14" x14ac:dyDescent="0.2">
      <c r="B185" s="123" t="str">
        <f t="shared" si="41"/>
        <v>NZ Aluminium Smelters Limited</v>
      </c>
      <c r="C185" s="5" t="str">
        <f t="shared" si="42"/>
        <v>Direct Connect</v>
      </c>
      <c r="D185" s="100">
        <f>'Calculations - Part 1'!J39</f>
        <v>32178895.847972427</v>
      </c>
      <c r="E185" s="100">
        <f>'Calculations - Part 2'!G116</f>
        <v>32229964.027277619</v>
      </c>
      <c r="F185" s="100">
        <f>'Calculations - Part 2'!N116</f>
        <v>32258996.55946476</v>
      </c>
      <c r="G185" s="100">
        <f t="shared" si="39"/>
        <v>29032.532187141478</v>
      </c>
      <c r="H185" s="101">
        <f t="shared" si="40"/>
        <v>9.0079319240232714E-4</v>
      </c>
      <c r="I185" s="1"/>
      <c r="J185" s="1"/>
      <c r="K185" s="1"/>
      <c r="L185" s="1"/>
      <c r="M185" s="1"/>
    </row>
    <row r="186" spans="2:14" x14ac:dyDescent="0.2">
      <c r="B186" s="123" t="str">
        <f t="shared" si="41"/>
        <v>OMV New Zealand Limited</v>
      </c>
      <c r="C186" s="5" t="str">
        <f t="shared" si="42"/>
        <v>Direct Connect</v>
      </c>
      <c r="D186" s="100">
        <f>'Calculations - Part 1'!J40</f>
        <v>0</v>
      </c>
      <c r="E186" s="100">
        <f>'Calculations - Part 2'!G117</f>
        <v>0</v>
      </c>
      <c r="F186" s="100">
        <f>'Calculations - Part 2'!N117</f>
        <v>0</v>
      </c>
      <c r="G186" s="100">
        <f t="shared" ref="G186:G203" si="43">IF(ISERROR(F186-E186),"",F186-E186)</f>
        <v>0</v>
      </c>
      <c r="H186" s="101" t="str">
        <f t="shared" ref="H186:H203" si="44">IF(ISERROR(F186/E186-1),"",F186/E186-1)</f>
        <v/>
      </c>
      <c r="I186" s="1"/>
      <c r="J186" s="1"/>
      <c r="K186" s="1"/>
      <c r="L186" s="1"/>
      <c r="M186" s="1"/>
    </row>
    <row r="187" spans="2:14" x14ac:dyDescent="0.2">
      <c r="B187" s="123" t="str">
        <f t="shared" si="41"/>
        <v>Orion New Zealand Limited</v>
      </c>
      <c r="C187" s="5" t="str">
        <f t="shared" si="42"/>
        <v>Lines Business</v>
      </c>
      <c r="D187" s="100">
        <f>'Calculations - Part 1'!J41</f>
        <v>41068480.783307344</v>
      </c>
      <c r="E187" s="100">
        <f>'Calculations - Part 2'!G118</f>
        <v>42272086.01253964</v>
      </c>
      <c r="F187" s="100">
        <f>'Calculations - Part 2'!N118</f>
        <v>42185831.936495475</v>
      </c>
      <c r="G187" s="100">
        <f t="shared" si="43"/>
        <v>-86254.076044164598</v>
      </c>
      <c r="H187" s="101">
        <f t="shared" si="44"/>
        <v>-2.0404499559965039E-3</v>
      </c>
      <c r="I187" s="1"/>
      <c r="J187" s="1"/>
      <c r="K187" s="1"/>
      <c r="L187" s="1"/>
      <c r="M187" s="1"/>
    </row>
    <row r="188" spans="2:14" x14ac:dyDescent="0.2">
      <c r="B188" s="123" t="str">
        <f t="shared" si="41"/>
        <v>Pan Pac Forest Product Limited</v>
      </c>
      <c r="C188" s="5" t="str">
        <f t="shared" si="42"/>
        <v>Direct Connect</v>
      </c>
      <c r="D188" s="100">
        <f>'Calculations - Part 1'!J42</f>
        <v>4238414.5671133837</v>
      </c>
      <c r="E188" s="100">
        <f>'Calculations - Part 2'!G119</f>
        <v>904853.17075333383</v>
      </c>
      <c r="F188" s="100">
        <f>'Calculations - Part 2'!N119</f>
        <v>905668.25632967195</v>
      </c>
      <c r="G188" s="100">
        <f t="shared" si="43"/>
        <v>815.08557633811142</v>
      </c>
      <c r="H188" s="101">
        <f t="shared" si="44"/>
        <v>9.0079319240210509E-4</v>
      </c>
      <c r="I188" s="1"/>
      <c r="J188" s="1"/>
      <c r="K188" s="1"/>
      <c r="L188" s="1"/>
      <c r="M188" s="1"/>
    </row>
    <row r="189" spans="2:14" x14ac:dyDescent="0.2">
      <c r="B189" s="123" t="str">
        <f t="shared" si="41"/>
        <v>Powerco Limited</v>
      </c>
      <c r="C189" s="5" t="str">
        <f t="shared" si="42"/>
        <v>Lines Business</v>
      </c>
      <c r="D189" s="100">
        <f>'Calculations - Part 1'!J43</f>
        <v>56697092.954209059</v>
      </c>
      <c r="E189" s="100">
        <f>'Calculations - Part 2'!G120</f>
        <v>57791387.176519327</v>
      </c>
      <c r="F189" s="100">
        <f>'Calculations - Part 2'!N120</f>
        <v>57840880.295805991</v>
      </c>
      <c r="G189" s="100">
        <f t="shared" si="43"/>
        <v>49493.11928666383</v>
      </c>
      <c r="H189" s="101">
        <f t="shared" si="44"/>
        <v>8.5640995492108907E-4</v>
      </c>
      <c r="I189" s="1"/>
      <c r="J189" s="1"/>
      <c r="K189" s="1"/>
      <c r="L189" s="1"/>
      <c r="M189" s="1"/>
    </row>
    <row r="190" spans="2:14" x14ac:dyDescent="0.2">
      <c r="B190" s="123" t="str">
        <f t="shared" si="41"/>
        <v>Powernet Ltd</v>
      </c>
      <c r="C190" s="5" t="str">
        <f t="shared" si="42"/>
        <v>Lines Business</v>
      </c>
      <c r="D190" s="100">
        <f>'Calculations - Part 1'!J44</f>
        <v>15344795.910927473</v>
      </c>
      <c r="E190" s="100">
        <f>'Calculations - Part 2'!G121</f>
        <v>15910792.276473779</v>
      </c>
      <c r="F190" s="100">
        <f>'Calculations - Part 2'!N121</f>
        <v>15964725.392480996</v>
      </c>
      <c r="G190" s="100">
        <f t="shared" si="43"/>
        <v>53933.116007216275</v>
      </c>
      <c r="H190" s="101">
        <f t="shared" si="44"/>
        <v>3.3897190705558522E-3</v>
      </c>
      <c r="I190" s="1"/>
      <c r="J190" s="1"/>
      <c r="K190" s="1"/>
      <c r="L190" s="1"/>
      <c r="M190" s="1"/>
    </row>
    <row r="191" spans="2:14" x14ac:dyDescent="0.2">
      <c r="B191" s="123" t="str">
        <f t="shared" si="41"/>
        <v>Scanpower Limited</v>
      </c>
      <c r="C191" s="5" t="str">
        <f t="shared" si="42"/>
        <v>Lines Business</v>
      </c>
      <c r="D191" s="100">
        <f>'Calculations - Part 1'!J45</f>
        <v>825395.09976607875</v>
      </c>
      <c r="E191" s="100">
        <f>'Calculations - Part 2'!G122</f>
        <v>831370.8343025936</v>
      </c>
      <c r="F191" s="100">
        <f>'Calculations - Part 2'!N122</f>
        <v>832594.32912530017</v>
      </c>
      <c r="G191" s="100">
        <f t="shared" si="43"/>
        <v>1223.4948227065615</v>
      </c>
      <c r="H191" s="101">
        <f t="shared" si="44"/>
        <v>1.4716595437618274E-3</v>
      </c>
      <c r="I191" s="1"/>
      <c r="J191" s="1"/>
      <c r="K191" s="1"/>
      <c r="L191" s="1"/>
      <c r="M191" s="1"/>
    </row>
    <row r="192" spans="2:14" x14ac:dyDescent="0.2">
      <c r="B192" s="123" t="str">
        <f t="shared" si="41"/>
        <v>Southpark Utilities Limited</v>
      </c>
      <c r="C192" s="5" t="str">
        <f t="shared" si="42"/>
        <v>Direct Connect</v>
      </c>
      <c r="D192" s="100">
        <f>'Calculations - Part 1'!J46</f>
        <v>9346.3350847521033</v>
      </c>
      <c r="E192" s="100">
        <f>'Calculations - Part 2'!G123</f>
        <v>9374.4932268879002</v>
      </c>
      <c r="F192" s="100">
        <f>'Calculations - Part 2'!N123</f>
        <v>9378.3738216104666</v>
      </c>
      <c r="G192" s="100">
        <f t="shared" si="43"/>
        <v>3.8805947225664568</v>
      </c>
      <c r="H192" s="101">
        <f t="shared" si="44"/>
        <v>4.1395248027242815E-4</v>
      </c>
      <c r="I192" s="1"/>
      <c r="J192" s="1"/>
      <c r="K192" s="1"/>
      <c r="L192" s="1"/>
      <c r="M192" s="1"/>
      <c r="N192" s="1"/>
    </row>
    <row r="193" spans="2:14" x14ac:dyDescent="0.2">
      <c r="B193" s="123" t="str">
        <f t="shared" si="41"/>
        <v>Tararua Wind Power</v>
      </c>
      <c r="C193" s="5" t="str">
        <f t="shared" si="42"/>
        <v>Generator</v>
      </c>
      <c r="D193" s="100">
        <f>'Calculations - Part 1'!J47</f>
        <v>60351.915624830239</v>
      </c>
      <c r="E193" s="100">
        <f>'Calculations - Part 2'!G124</f>
        <v>0</v>
      </c>
      <c r="F193" s="100">
        <f>'Calculations - Part 2'!N124</f>
        <v>0</v>
      </c>
      <c r="G193" s="100">
        <f t="shared" si="43"/>
        <v>0</v>
      </c>
      <c r="H193" s="101" t="str">
        <f t="shared" si="44"/>
        <v/>
      </c>
      <c r="I193" s="1"/>
      <c r="J193" s="1"/>
      <c r="K193" s="1"/>
      <c r="L193" s="1"/>
      <c r="M193" s="1"/>
      <c r="N193" s="1"/>
    </row>
    <row r="194" spans="2:14" x14ac:dyDescent="0.2">
      <c r="B194" s="123" t="str">
        <f t="shared" si="41"/>
        <v>The Lines Company Ltd</v>
      </c>
      <c r="C194" s="5" t="str">
        <f t="shared" si="42"/>
        <v>Lines Business</v>
      </c>
      <c r="D194" s="100">
        <f>'Calculations - Part 1'!J48</f>
        <v>4220319.9408050561</v>
      </c>
      <c r="E194" s="100">
        <f>'Calculations - Part 2'!G125</f>
        <v>4088164.3559495248</v>
      </c>
      <c r="F194" s="100">
        <f>'Calculations - Part 2'!N125</f>
        <v>4091846.9465707857</v>
      </c>
      <c r="G194" s="100">
        <f t="shared" si="43"/>
        <v>3682.5906212609261</v>
      </c>
      <c r="H194" s="101">
        <f t="shared" si="44"/>
        <v>9.0079319240232714E-4</v>
      </c>
      <c r="I194" s="1"/>
      <c r="J194" s="1"/>
      <c r="K194" s="1"/>
      <c r="L194" s="1"/>
      <c r="M194" s="1"/>
      <c r="N194" s="1"/>
    </row>
    <row r="195" spans="2:14" x14ac:dyDescent="0.2">
      <c r="B195" s="123" t="str">
        <f t="shared" si="41"/>
        <v>Top Energy Ltd</v>
      </c>
      <c r="C195" s="5" t="str">
        <f t="shared" si="42"/>
        <v>Lines Business</v>
      </c>
      <c r="D195" s="100">
        <f>'Calculations - Part 1'!J49</f>
        <v>3805338.7220839406</v>
      </c>
      <c r="E195" s="100">
        <f>'Calculations - Part 2'!G126</f>
        <v>3845140.5807178346</v>
      </c>
      <c r="F195" s="100">
        <f>'Calculations - Part 2'!N126</f>
        <v>3850061.7111155475</v>
      </c>
      <c r="G195" s="100">
        <f t="shared" si="43"/>
        <v>4921.1303977128118</v>
      </c>
      <c r="H195" s="101">
        <f t="shared" si="44"/>
        <v>1.2798310736390484E-3</v>
      </c>
      <c r="I195" s="1"/>
      <c r="J195" s="1"/>
      <c r="K195" s="1"/>
      <c r="L195" s="1"/>
      <c r="M195" s="1"/>
      <c r="N195" s="1"/>
    </row>
    <row r="196" spans="2:14" x14ac:dyDescent="0.2">
      <c r="B196" s="123" t="str">
        <f t="shared" si="41"/>
        <v>Unison Networks Limited</v>
      </c>
      <c r="C196" s="5" t="str">
        <f t="shared" si="42"/>
        <v>Lines Business</v>
      </c>
      <c r="D196" s="100">
        <f>'Calculations - Part 1'!J50</f>
        <v>19814511.165976718</v>
      </c>
      <c r="E196" s="100">
        <f>'Calculations - Part 2'!G127</f>
        <v>20298980.718316268</v>
      </c>
      <c r="F196" s="100">
        <f>'Calculations - Part 2'!N127</f>
        <v>20290958.26905736</v>
      </c>
      <c r="G196" s="100">
        <f t="shared" si="43"/>
        <v>-8022.4492589086294</v>
      </c>
      <c r="H196" s="101">
        <f t="shared" si="44"/>
        <v>-3.9521438885203874E-4</v>
      </c>
      <c r="I196" s="1"/>
      <c r="J196" s="1"/>
      <c r="K196" s="1"/>
      <c r="L196" s="1"/>
      <c r="M196" s="1"/>
      <c r="N196" s="1"/>
    </row>
    <row r="197" spans="2:14" x14ac:dyDescent="0.2">
      <c r="B197" s="123" t="str">
        <f t="shared" si="41"/>
        <v>Vector Limited</v>
      </c>
      <c r="C197" s="5" t="str">
        <f t="shared" si="42"/>
        <v>Lines Business</v>
      </c>
      <c r="D197" s="100">
        <f>'Calculations - Part 1'!J51</f>
        <v>108493497.65988031</v>
      </c>
      <c r="E197" s="100">
        <f>'Calculations - Part 2'!G128</f>
        <v>108302388.34667163</v>
      </c>
      <c r="F197" s="100">
        <f>'Calculations - Part 2'!N128</f>
        <v>108399946.4008152</v>
      </c>
      <c r="G197" s="100">
        <f t="shared" si="43"/>
        <v>97558.054143577814</v>
      </c>
      <c r="H197" s="101">
        <f t="shared" si="44"/>
        <v>9.0079319240210509E-4</v>
      </c>
      <c r="I197" s="1"/>
      <c r="J197" s="1"/>
      <c r="K197" s="1"/>
      <c r="L197" s="1"/>
      <c r="M197" s="1"/>
      <c r="N197" s="1"/>
    </row>
    <row r="198" spans="2:14" x14ac:dyDescent="0.2">
      <c r="B198" s="123" t="str">
        <f t="shared" si="41"/>
        <v>Waipa Networks Limited</v>
      </c>
      <c r="C198" s="5" t="str">
        <f t="shared" si="42"/>
        <v>Lines Business</v>
      </c>
      <c r="D198" s="100">
        <f>'Calculations - Part 1'!J52</f>
        <v>4117022.2975282255</v>
      </c>
      <c r="E198" s="100">
        <f>'Calculations - Part 2'!G129</f>
        <v>4329056.8674657736</v>
      </c>
      <c r="F198" s="100">
        <f>'Calculations - Part 2'!N129</f>
        <v>4350447.1198280063</v>
      </c>
      <c r="G198" s="100">
        <f t="shared" si="43"/>
        <v>21390.252362232655</v>
      </c>
      <c r="H198" s="101">
        <f t="shared" si="44"/>
        <v>4.9410883287275276E-3</v>
      </c>
    </row>
    <row r="199" spans="2:14" x14ac:dyDescent="0.2">
      <c r="B199" s="123" t="str">
        <f t="shared" si="41"/>
        <v>WEL Networks Limited</v>
      </c>
      <c r="C199" s="5" t="str">
        <f t="shared" si="42"/>
        <v>Lines Business</v>
      </c>
      <c r="D199" s="100">
        <f>'Calculations - Part 1'!J53</f>
        <v>16061680.897114143</v>
      </c>
      <c r="E199" s="100">
        <f>'Calculations - Part 2'!G130</f>
        <v>15645182.955181837</v>
      </c>
      <c r="F199" s="100">
        <f>'Calculations - Part 2'!N130</f>
        <v>15659276.029481752</v>
      </c>
      <c r="G199" s="100">
        <f t="shared" si="43"/>
        <v>14093.074299914762</v>
      </c>
      <c r="H199" s="101">
        <f t="shared" si="44"/>
        <v>9.0079319240210509E-4</v>
      </c>
    </row>
    <row r="200" spans="2:14" x14ac:dyDescent="0.2">
      <c r="B200" s="123" t="str">
        <f t="shared" si="41"/>
        <v>Wellington Electricity Lines Limited</v>
      </c>
      <c r="C200" s="5" t="str">
        <f t="shared" si="42"/>
        <v>Lines Business</v>
      </c>
      <c r="D200" s="100">
        <f>'Calculations - Part 1'!J54</f>
        <v>30937633.812094383</v>
      </c>
      <c r="E200" s="100">
        <f>'Calculations - Part 2'!G131</f>
        <v>30467549.894648802</v>
      </c>
      <c r="F200" s="100">
        <f>'Calculations - Part 2'!N131</f>
        <v>30494994.856183078</v>
      </c>
      <c r="G200" s="100">
        <f t="shared" si="43"/>
        <v>27444.961534276605</v>
      </c>
      <c r="H200" s="101">
        <f t="shared" si="44"/>
        <v>9.0079319240232714E-4</v>
      </c>
    </row>
    <row r="201" spans="2:14" x14ac:dyDescent="0.2">
      <c r="B201" s="123" t="str">
        <f t="shared" si="41"/>
        <v>Westpower Limited</v>
      </c>
      <c r="C201" s="5" t="str">
        <f>C57</f>
        <v>Lines Business</v>
      </c>
      <c r="D201" s="100">
        <f>'Calculations - Part 1'!J55</f>
        <v>2910929.8800519505</v>
      </c>
      <c r="E201" s="100">
        <f>'Calculations - Part 2'!G132</f>
        <v>2808687.2168827592</v>
      </c>
      <c r="F201" s="100">
        <f>'Calculations - Part 2'!N132</f>
        <v>2811217.2632073141</v>
      </c>
      <c r="G201" s="100">
        <f t="shared" si="43"/>
        <v>2530.0463245548308</v>
      </c>
      <c r="H201" s="101">
        <f t="shared" si="44"/>
        <v>9.0079319240210509E-4</v>
      </c>
    </row>
    <row r="202" spans="2:14" x14ac:dyDescent="0.2">
      <c r="B202" s="123" t="str">
        <f t="shared" si="41"/>
        <v>Whareroa Cogeneration Limited</v>
      </c>
      <c r="C202" s="5" t="str">
        <f t="shared" si="42"/>
        <v>Direct Connect</v>
      </c>
      <c r="D202" s="100">
        <f>'Calculations - Part 1'!J56</f>
        <v>1580914.24908959</v>
      </c>
      <c r="E202" s="100">
        <f>'Calculations - Part 2'!G133</f>
        <v>1583974.9659804455</v>
      </c>
      <c r="F202" s="100">
        <f>'Calculations - Part 2'!N133</f>
        <v>1585401.7998467362</v>
      </c>
      <c r="G202" s="100">
        <f t="shared" si="43"/>
        <v>1426.8338662907481</v>
      </c>
      <c r="H202" s="101">
        <f t="shared" si="44"/>
        <v>9.0079319240232714E-4</v>
      </c>
    </row>
    <row r="203" spans="2:14" x14ac:dyDescent="0.2">
      <c r="B203" s="123" t="str">
        <f t="shared" si="41"/>
        <v>Winstone Pulp International</v>
      </c>
      <c r="C203" s="5" t="str">
        <f t="shared" si="42"/>
        <v>Direct Connect</v>
      </c>
      <c r="D203" s="100">
        <f>'Calculations - Part 1'!J57</f>
        <v>1984843.3494005913</v>
      </c>
      <c r="E203" s="100">
        <f>'Calculations - Part 2'!G134</f>
        <v>1850163.1208028942</v>
      </c>
      <c r="F203" s="100">
        <f>'Calculations - Part 2'!N134</f>
        <v>1851829.7351469472</v>
      </c>
      <c r="G203" s="100">
        <f t="shared" si="43"/>
        <v>1666.6143440529704</v>
      </c>
      <c r="H203" s="101">
        <f t="shared" si="44"/>
        <v>9.0079319240232714E-4</v>
      </c>
    </row>
    <row r="204" spans="2:14" x14ac:dyDescent="0.2">
      <c r="B204" s="123" t="str">
        <f t="shared" si="41"/>
        <v>Kawerau Geothermal Limited</v>
      </c>
      <c r="C204" s="5" t="str">
        <f t="shared" si="42"/>
        <v>Generator</v>
      </c>
      <c r="D204" s="100"/>
      <c r="E204" s="100"/>
      <c r="F204" s="100"/>
      <c r="G204" s="100"/>
      <c r="H204" s="5"/>
    </row>
    <row r="205" spans="2:14" x14ac:dyDescent="0.2">
      <c r="B205" s="123" t="str">
        <f t="shared" si="41"/>
        <v>Oji Fibre Solutions (NZ) Ltd</v>
      </c>
      <c r="C205" s="5" t="str">
        <f t="shared" si="42"/>
        <v>Direct Connect</v>
      </c>
      <c r="D205" s="5"/>
      <c r="E205" s="5"/>
      <c r="F205" s="5"/>
      <c r="G205" s="5"/>
      <c r="H205" s="5"/>
    </row>
    <row r="206" spans="2:14" x14ac:dyDescent="0.2">
      <c r="B206" s="123" t="str">
        <f t="shared" si="41"/>
        <v>Resolution Development Ltd</v>
      </c>
      <c r="C206" s="5" t="str">
        <f t="shared" si="42"/>
        <v>Generator</v>
      </c>
      <c r="D206" s="5"/>
      <c r="E206" s="5"/>
      <c r="F206" s="5"/>
      <c r="G206" s="5"/>
      <c r="H206" s="5"/>
    </row>
    <row r="207" spans="2:14" x14ac:dyDescent="0.2">
      <c r="B207" s="123" t="str">
        <f t="shared" si="41"/>
        <v>Southern Generation GP Limited</v>
      </c>
      <c r="C207" s="5" t="str">
        <f t="shared" si="42"/>
        <v>Generator</v>
      </c>
      <c r="D207" s="5"/>
      <c r="E207" s="5"/>
      <c r="F207" s="5"/>
      <c r="G207" s="5"/>
      <c r="H207" s="5"/>
    </row>
    <row r="208" spans="2:14" x14ac:dyDescent="0.2">
      <c r="B208" s="123" t="str">
        <f t="shared" si="41"/>
        <v>Waverley Windfarm Limited</v>
      </c>
      <c r="C208" s="5" t="str">
        <f t="shared" si="42"/>
        <v>Generator</v>
      </c>
      <c r="D208" s="5"/>
      <c r="E208" s="5"/>
      <c r="F208" s="5"/>
      <c r="G208" s="5"/>
      <c r="H208" s="5"/>
    </row>
    <row r="209" spans="2:8" x14ac:dyDescent="0.2">
      <c r="B209" s="123" t="str">
        <f t="shared" si="41"/>
        <v>Mercury NZ Limited</v>
      </c>
      <c r="C209" s="5" t="str">
        <f t="shared" si="42"/>
        <v>Generator</v>
      </c>
      <c r="D209" s="5"/>
      <c r="E209" s="5"/>
      <c r="F209" s="5"/>
      <c r="G209" s="5"/>
      <c r="H209" s="5"/>
    </row>
    <row r="211" spans="2:8" ht="15" x14ac:dyDescent="0.25">
      <c r="B211" s="37" t="s">
        <v>606</v>
      </c>
      <c r="C211" s="5"/>
      <c r="D211" s="55">
        <f>SUM(D154:D203)</f>
        <v>454319199.7213369</v>
      </c>
      <c r="E211" s="55">
        <f>SUM(E154:E203)</f>
        <v>454319199.72133696</v>
      </c>
      <c r="F211" s="55">
        <f>SUM(F154:F203)</f>
        <v>454319199.72133684</v>
      </c>
      <c r="G211" s="40">
        <f>SUM(G154:G203)</f>
        <v>4.5984052121639252E-8</v>
      </c>
      <c r="H211" s="5"/>
    </row>
  </sheetData>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FB8C6-33CF-4F32-9472-46F20A74B613}">
  <sheetPr>
    <tabColor theme="2" tint="0.59999389629810485"/>
    <pageSetUpPr fitToPage="1"/>
  </sheetPr>
  <dimension ref="A1:AI76"/>
  <sheetViews>
    <sheetView showGridLines="0" topLeftCell="L1" zoomScale="70" zoomScaleNormal="70" workbookViewId="0">
      <selection activeCell="L1" sqref="L1"/>
    </sheetView>
  </sheetViews>
  <sheetFormatPr defaultRowHeight="14.25" x14ac:dyDescent="0.2"/>
  <cols>
    <col min="1" max="1" width="17.5" customWidth="1"/>
    <col min="2" max="2" width="25.875" customWidth="1"/>
    <col min="3" max="10" width="14.25" customWidth="1"/>
    <col min="12" max="12" width="36.5" customWidth="1"/>
    <col min="13" max="13" width="51.875" customWidth="1"/>
    <col min="14" max="14" width="14" customWidth="1"/>
    <col min="15" max="16" width="37.125" customWidth="1"/>
    <col min="17" max="23" width="15.25" customWidth="1"/>
    <col min="24" max="24" width="13.375" customWidth="1"/>
    <col min="25" max="25" width="18.5" customWidth="1"/>
    <col min="27" max="31" width="16" customWidth="1"/>
    <col min="32" max="32" width="17.375" customWidth="1"/>
    <col min="33" max="33" width="17.75" customWidth="1"/>
  </cols>
  <sheetData>
    <row r="1" spans="1:31" ht="27.75" x14ac:dyDescent="0.4">
      <c r="A1" s="113" t="s">
        <v>607</v>
      </c>
      <c r="L1" s="114" t="s">
        <v>607</v>
      </c>
    </row>
    <row r="5" spans="1:31" x14ac:dyDescent="0.2">
      <c r="A5" t="s">
        <v>608</v>
      </c>
      <c r="AE5" t="s">
        <v>609</v>
      </c>
    </row>
    <row r="6" spans="1:31" x14ac:dyDescent="0.2">
      <c r="A6" t="s">
        <v>610</v>
      </c>
      <c r="L6" t="s">
        <v>611</v>
      </c>
      <c r="O6" t="s">
        <v>612</v>
      </c>
      <c r="AA6" s="63" t="s">
        <v>613</v>
      </c>
      <c r="AB6" s="63" t="s">
        <v>614</v>
      </c>
      <c r="AC6" s="63" t="s">
        <v>615</v>
      </c>
      <c r="AD6" s="63" t="s">
        <v>616</v>
      </c>
      <c r="AE6" s="63" t="s">
        <v>617</v>
      </c>
    </row>
    <row r="7" spans="1:31" ht="30" x14ac:dyDescent="0.25">
      <c r="A7" s="43" t="s">
        <v>618</v>
      </c>
      <c r="B7" s="43" t="s">
        <v>619</v>
      </c>
      <c r="C7" s="94" t="s">
        <v>620</v>
      </c>
      <c r="D7" s="94" t="s">
        <v>621</v>
      </c>
      <c r="E7" s="94" t="s">
        <v>622</v>
      </c>
      <c r="F7" s="94" t="s">
        <v>623</v>
      </c>
      <c r="G7" s="94" t="s">
        <v>624</v>
      </c>
      <c r="H7" s="94" t="s">
        <v>625</v>
      </c>
      <c r="I7" s="94" t="s">
        <v>626</v>
      </c>
      <c r="J7" s="94" t="s">
        <v>627</v>
      </c>
      <c r="L7" s="43" t="s">
        <v>53</v>
      </c>
      <c r="M7" s="43" t="s">
        <v>628</v>
      </c>
      <c r="O7" s="43"/>
      <c r="P7" s="43"/>
      <c r="Q7" s="94" t="s">
        <v>620</v>
      </c>
      <c r="R7" s="94" t="s">
        <v>621</v>
      </c>
      <c r="S7" s="94" t="s">
        <v>622</v>
      </c>
      <c r="T7" s="94" t="s">
        <v>623</v>
      </c>
      <c r="U7" s="94" t="s">
        <v>624</v>
      </c>
      <c r="V7" s="94" t="s">
        <v>625</v>
      </c>
      <c r="W7" s="94" t="s">
        <v>626</v>
      </c>
      <c r="X7" s="94" t="s">
        <v>627</v>
      </c>
      <c r="Y7" s="43" t="s">
        <v>629</v>
      </c>
      <c r="AA7" s="57" t="s">
        <v>630</v>
      </c>
      <c r="AB7" s="57" t="s">
        <v>631</v>
      </c>
      <c r="AC7" s="57" t="s">
        <v>632</v>
      </c>
      <c r="AD7" s="57" t="s">
        <v>633</v>
      </c>
      <c r="AE7" s="57" t="s">
        <v>634</v>
      </c>
    </row>
    <row r="8" spans="1:31" x14ac:dyDescent="0.2">
      <c r="A8" s="5" t="s">
        <v>64</v>
      </c>
      <c r="B8" s="5" t="s">
        <v>635</v>
      </c>
      <c r="C8" s="93">
        <v>813.8143</v>
      </c>
      <c r="D8" s="93">
        <v>815.71454000000006</v>
      </c>
      <c r="E8" s="93">
        <v>782.70479999999998</v>
      </c>
      <c r="F8" s="93">
        <v>811.40125</v>
      </c>
      <c r="G8" s="93">
        <v>819.83849999999995</v>
      </c>
      <c r="H8" s="93">
        <v>835.62334999999996</v>
      </c>
      <c r="I8" s="93">
        <v>851.21529999999996</v>
      </c>
      <c r="J8" s="93">
        <v>796.56664999999998</v>
      </c>
      <c r="L8" s="93" t="s">
        <v>63</v>
      </c>
      <c r="M8" s="93" t="s">
        <v>65</v>
      </c>
      <c r="O8" s="5" t="s">
        <v>63</v>
      </c>
      <c r="P8" s="5"/>
      <c r="Q8" s="23">
        <f t="shared" ref="Q8:Q17" si="0">_xlfn.XLOOKUP($O8,$L$8:$L$74,C$8:C$74,FALSE)</f>
        <v>813.8143</v>
      </c>
      <c r="R8" s="23">
        <f t="shared" ref="R8:R17" si="1">_xlfn.XLOOKUP($O8,$L$8:$L$74,D$8:D$74,FALSE)</f>
        <v>815.71454000000006</v>
      </c>
      <c r="S8" s="23">
        <f t="shared" ref="S8:S17" si="2">_xlfn.XLOOKUP($O8,$L$8:$L$74,E$8:E$74,FALSE)</f>
        <v>782.70479999999998</v>
      </c>
      <c r="T8" s="23">
        <f t="shared" ref="T8:T17" si="3">_xlfn.XLOOKUP($O8,$L$8:$L$74,F$8:F$74,FALSE)</f>
        <v>811.40125</v>
      </c>
      <c r="U8" s="23">
        <f t="shared" ref="U8:U17" si="4">_xlfn.XLOOKUP($O8,$L$8:$L$74,G$8:G$74,FALSE)</f>
        <v>819.83849999999995</v>
      </c>
      <c r="V8" s="23">
        <f t="shared" ref="V8:V17" si="5">_xlfn.XLOOKUP($O8,$L$8:$L$74,H$8:H$74,FALSE)</f>
        <v>835.62334999999996</v>
      </c>
      <c r="W8" s="23">
        <f t="shared" ref="W8:W17" si="6">_xlfn.XLOOKUP($O8,$L$8:$L$74,I$8:I$74,FALSE)</f>
        <v>851.21529999999996</v>
      </c>
      <c r="X8" s="23">
        <f t="shared" ref="X8:X17" si="7">_xlfn.XLOOKUP($O8,$L$8:$L$74,J$8:J$74,FALSE)</f>
        <v>796.56664999999998</v>
      </c>
      <c r="Y8" s="93"/>
      <c r="AA8" s="23">
        <f t="shared" ref="AA8:AA22" si="8">AVERAGE(Q8:T8)*1000000</f>
        <v>805908722.5</v>
      </c>
      <c r="AB8" s="23">
        <f t="shared" ref="AB8:AB22" si="9">AVERAGE(R8:U8)*1000000</f>
        <v>807414772.49999988</v>
      </c>
      <c r="AC8" s="23">
        <f t="shared" ref="AC8:AC22" si="10">AVERAGE(S8:V8)*1000000</f>
        <v>812391974.99999988</v>
      </c>
      <c r="AD8" s="23">
        <f t="shared" ref="AD8:AD22" si="11">AVERAGE(T8:W8)*1000000</f>
        <v>829519600</v>
      </c>
      <c r="AE8" s="23">
        <f t="shared" ref="AE8:AE22" si="12">AVERAGE(U8:X8)*1000000</f>
        <v>825810950</v>
      </c>
    </row>
    <row r="9" spans="1:31" x14ac:dyDescent="0.2">
      <c r="A9" s="5" t="s">
        <v>636</v>
      </c>
      <c r="B9" s="5" t="s">
        <v>637</v>
      </c>
      <c r="C9" s="93">
        <v>0.79875499999999999</v>
      </c>
      <c r="D9" s="93">
        <v>0.110461004</v>
      </c>
      <c r="E9" s="93">
        <v>30.84104</v>
      </c>
      <c r="F9" s="93">
        <v>32.60575</v>
      </c>
      <c r="G9" s="93">
        <v>34.393050000000002</v>
      </c>
      <c r="H9" s="93">
        <v>35.240265000000001</v>
      </c>
      <c r="I9" s="93">
        <v>37.308329999999998</v>
      </c>
      <c r="J9" s="93">
        <v>36.458733000000002</v>
      </c>
      <c r="L9" s="93" t="s">
        <v>638</v>
      </c>
      <c r="M9" s="93" t="s">
        <v>639</v>
      </c>
      <c r="O9" s="5" t="s">
        <v>66</v>
      </c>
      <c r="P9" s="5"/>
      <c r="Q9" s="23">
        <f t="shared" si="0"/>
        <v>1364.0404000000001</v>
      </c>
      <c r="R9" s="23">
        <f t="shared" si="1"/>
        <v>1368.87</v>
      </c>
      <c r="S9" s="23">
        <f t="shared" si="2"/>
        <v>1394.1641</v>
      </c>
      <c r="T9" s="23">
        <f t="shared" si="3"/>
        <v>1421.1694</v>
      </c>
      <c r="U9" s="23">
        <f t="shared" si="4"/>
        <v>1404.4258</v>
      </c>
      <c r="V9" s="23">
        <f t="shared" si="5"/>
        <v>1419.9967999999999</v>
      </c>
      <c r="W9" s="23">
        <f t="shared" si="6"/>
        <v>1409.0518</v>
      </c>
      <c r="X9" s="23">
        <f t="shared" si="7"/>
        <v>1388.6783</v>
      </c>
      <c r="Y9" s="93"/>
      <c r="AA9" s="23">
        <f t="shared" si="8"/>
        <v>1387060974.9999998</v>
      </c>
      <c r="AB9" s="23">
        <f t="shared" si="9"/>
        <v>1397157325</v>
      </c>
      <c r="AC9" s="23">
        <f t="shared" si="10"/>
        <v>1409939025</v>
      </c>
      <c r="AD9" s="23">
        <f t="shared" si="11"/>
        <v>1413660950</v>
      </c>
      <c r="AE9" s="23">
        <f t="shared" si="12"/>
        <v>1405538175.0000002</v>
      </c>
    </row>
    <row r="10" spans="1:31" x14ac:dyDescent="0.2">
      <c r="A10" s="5" t="s">
        <v>72</v>
      </c>
      <c r="B10" s="5" t="s">
        <v>640</v>
      </c>
      <c r="C10" s="93">
        <v>106.33008599999999</v>
      </c>
      <c r="D10" s="93">
        <v>95.263480000000001</v>
      </c>
      <c r="E10" s="93">
        <v>54.981859999999998</v>
      </c>
      <c r="F10" s="93">
        <v>54.761569999999999</v>
      </c>
      <c r="G10" s="93">
        <v>54.91977</v>
      </c>
      <c r="H10" s="93">
        <v>54.29036</v>
      </c>
      <c r="I10" s="93">
        <v>53.9679</v>
      </c>
      <c r="J10" s="93">
        <v>53.357062999999997</v>
      </c>
      <c r="L10" s="93" t="s">
        <v>71</v>
      </c>
      <c r="M10" s="93" t="s">
        <v>65</v>
      </c>
      <c r="O10" s="5" t="s">
        <v>68</v>
      </c>
      <c r="P10" s="5"/>
      <c r="Q10" s="23">
        <f t="shared" si="0"/>
        <v>63.27617</v>
      </c>
      <c r="R10" s="23">
        <f t="shared" si="1"/>
        <v>57.594450000000002</v>
      </c>
      <c r="S10" s="23">
        <f t="shared" si="2"/>
        <v>53.070923000000001</v>
      </c>
      <c r="T10" s="23">
        <f t="shared" si="3"/>
        <v>61.989350000000002</v>
      </c>
      <c r="U10" s="23">
        <f t="shared" si="4"/>
        <v>68.132220000000004</v>
      </c>
      <c r="V10" s="23">
        <f t="shared" si="5"/>
        <v>64.334854000000007</v>
      </c>
      <c r="W10" s="23">
        <f t="shared" si="6"/>
        <v>65.782929999999993</v>
      </c>
      <c r="X10" s="23">
        <f t="shared" si="7"/>
        <v>98.759444999999999</v>
      </c>
      <c r="Y10" s="93"/>
      <c r="AA10" s="23">
        <f t="shared" si="8"/>
        <v>58982723.25</v>
      </c>
      <c r="AB10" s="23">
        <f t="shared" si="9"/>
        <v>60196735.75</v>
      </c>
      <c r="AC10" s="23">
        <f t="shared" si="10"/>
        <v>61881836.750000007</v>
      </c>
      <c r="AD10" s="23">
        <f t="shared" si="11"/>
        <v>65059838.500000015</v>
      </c>
      <c r="AE10" s="23">
        <f t="shared" si="12"/>
        <v>74252362.25</v>
      </c>
    </row>
    <row r="11" spans="1:31" x14ac:dyDescent="0.2">
      <c r="A11" s="5" t="s">
        <v>74</v>
      </c>
      <c r="B11" s="5" t="s">
        <v>641</v>
      </c>
      <c r="C11" s="93">
        <v>116.56097</v>
      </c>
      <c r="D11" s="93">
        <v>116.42416</v>
      </c>
      <c r="E11" s="93">
        <v>114.53458000000001</v>
      </c>
      <c r="F11" s="93">
        <v>116.66274</v>
      </c>
      <c r="G11" s="93">
        <v>117.34137</v>
      </c>
      <c r="H11" s="93">
        <v>123.195694</v>
      </c>
      <c r="I11" s="93">
        <v>119.217545</v>
      </c>
      <c r="J11" s="93">
        <v>118.94582</v>
      </c>
      <c r="L11" s="93" t="s">
        <v>73</v>
      </c>
      <c r="M11" s="93" t="s">
        <v>65</v>
      </c>
      <c r="O11" s="5" t="s">
        <v>71</v>
      </c>
      <c r="P11" s="5"/>
      <c r="Q11" s="23">
        <f t="shared" si="0"/>
        <v>106.33008599999999</v>
      </c>
      <c r="R11" s="23">
        <f t="shared" si="1"/>
        <v>95.263480000000001</v>
      </c>
      <c r="S11" s="23">
        <f t="shared" si="2"/>
        <v>54.981859999999998</v>
      </c>
      <c r="T11" s="23">
        <f t="shared" si="3"/>
        <v>54.761569999999999</v>
      </c>
      <c r="U11" s="23">
        <f t="shared" si="4"/>
        <v>54.91977</v>
      </c>
      <c r="V11" s="23">
        <f t="shared" si="5"/>
        <v>54.29036</v>
      </c>
      <c r="W11" s="23">
        <f t="shared" si="6"/>
        <v>53.9679</v>
      </c>
      <c r="X11" s="23">
        <f t="shared" si="7"/>
        <v>53.357062999999997</v>
      </c>
      <c r="Y11" s="93"/>
      <c r="AA11" s="23">
        <f t="shared" si="8"/>
        <v>77834249</v>
      </c>
      <c r="AB11" s="23">
        <f t="shared" si="9"/>
        <v>64981670.000000007</v>
      </c>
      <c r="AC11" s="23">
        <f t="shared" si="10"/>
        <v>54738389.999999993</v>
      </c>
      <c r="AD11" s="23">
        <f t="shared" si="11"/>
        <v>54484899.999999993</v>
      </c>
      <c r="AE11" s="23">
        <f t="shared" si="12"/>
        <v>54133773.249999993</v>
      </c>
    </row>
    <row r="12" spans="1:31" x14ac:dyDescent="0.2">
      <c r="A12" s="5" t="s">
        <v>642</v>
      </c>
      <c r="B12" s="5" t="s">
        <v>643</v>
      </c>
      <c r="C12" s="93">
        <v>2465.6907000000001</v>
      </c>
      <c r="D12" s="93">
        <v>2447.4254999999998</v>
      </c>
      <c r="E12" s="93">
        <v>2458.1257000000001</v>
      </c>
      <c r="F12" s="93">
        <v>2426.3989999999999</v>
      </c>
      <c r="G12" s="93">
        <v>2402.0576000000001</v>
      </c>
      <c r="H12" s="93">
        <v>2379.5783999999999</v>
      </c>
      <c r="I12" s="93">
        <v>2401.16</v>
      </c>
      <c r="J12" s="93">
        <v>2384.1518999999998</v>
      </c>
      <c r="L12" s="93" t="s">
        <v>157</v>
      </c>
      <c r="M12" s="93" t="s">
        <v>65</v>
      </c>
      <c r="O12" s="5" t="s">
        <v>73</v>
      </c>
      <c r="P12" s="5"/>
      <c r="Q12" s="23">
        <f t="shared" si="0"/>
        <v>116.56097</v>
      </c>
      <c r="R12" s="23">
        <f t="shared" si="1"/>
        <v>116.42416</v>
      </c>
      <c r="S12" s="23">
        <f t="shared" si="2"/>
        <v>114.53458000000001</v>
      </c>
      <c r="T12" s="23">
        <f t="shared" si="3"/>
        <v>116.66274</v>
      </c>
      <c r="U12" s="23">
        <f t="shared" si="4"/>
        <v>117.34137</v>
      </c>
      <c r="V12" s="23">
        <f t="shared" si="5"/>
        <v>123.195694</v>
      </c>
      <c r="W12" s="23">
        <f t="shared" si="6"/>
        <v>119.217545</v>
      </c>
      <c r="X12" s="23">
        <f t="shared" si="7"/>
        <v>118.94582</v>
      </c>
      <c r="Y12" s="93"/>
      <c r="AA12" s="23">
        <f t="shared" si="8"/>
        <v>116045612.5</v>
      </c>
      <c r="AB12" s="23">
        <f t="shared" si="9"/>
        <v>116240712.5</v>
      </c>
      <c r="AC12" s="23">
        <f t="shared" si="10"/>
        <v>117933596</v>
      </c>
      <c r="AD12" s="23">
        <f t="shared" si="11"/>
        <v>119104337.24999999</v>
      </c>
      <c r="AE12" s="23">
        <f t="shared" si="12"/>
        <v>119675107.25</v>
      </c>
    </row>
    <row r="13" spans="1:31" x14ac:dyDescent="0.2">
      <c r="A13" s="5" t="s">
        <v>644</v>
      </c>
      <c r="B13" s="5" t="s">
        <v>645</v>
      </c>
      <c r="C13" s="93"/>
      <c r="D13" s="93"/>
      <c r="E13" s="93"/>
      <c r="F13" s="93"/>
      <c r="G13" s="93"/>
      <c r="H13" s="93"/>
      <c r="I13" s="93"/>
      <c r="J13" s="93">
        <v>1.7558210000000001</v>
      </c>
      <c r="L13" s="93" t="s">
        <v>95</v>
      </c>
      <c r="M13" s="93" t="b">
        <v>0</v>
      </c>
      <c r="O13" s="5" t="s">
        <v>75</v>
      </c>
      <c r="P13" s="5"/>
      <c r="Q13" s="23">
        <f t="shared" si="0"/>
        <v>14.509944000000001</v>
      </c>
      <c r="R13" s="23">
        <f t="shared" si="1"/>
        <v>9.1986670000000004</v>
      </c>
      <c r="S13" s="23">
        <f t="shared" si="2"/>
        <v>8.9226419999999997</v>
      </c>
      <c r="T13" s="23">
        <f t="shared" si="3"/>
        <v>6.7737220000000002</v>
      </c>
      <c r="U13" s="23">
        <f t="shared" si="4"/>
        <v>6.3252170000000003</v>
      </c>
      <c r="V13" s="23">
        <f t="shared" si="5"/>
        <v>7.0940859999999999</v>
      </c>
      <c r="W13" s="23">
        <f t="shared" si="6"/>
        <v>7.9503817999999997</v>
      </c>
      <c r="X13" s="23">
        <f t="shared" si="7"/>
        <v>7.4046399999999997</v>
      </c>
      <c r="Y13" s="93"/>
      <c r="AA13" s="23">
        <f t="shared" si="8"/>
        <v>9851243.75</v>
      </c>
      <c r="AB13" s="23">
        <f t="shared" si="9"/>
        <v>7805061.9999999991</v>
      </c>
      <c r="AC13" s="23">
        <f t="shared" si="10"/>
        <v>7278916.75</v>
      </c>
      <c r="AD13" s="23">
        <f t="shared" si="11"/>
        <v>7035851.7000000002</v>
      </c>
      <c r="AE13" s="23">
        <f t="shared" si="12"/>
        <v>7193581.1999999993</v>
      </c>
    </row>
    <row r="14" spans="1:31" x14ac:dyDescent="0.2">
      <c r="A14" s="5" t="s">
        <v>78</v>
      </c>
      <c r="B14" s="5" t="s">
        <v>646</v>
      </c>
      <c r="C14" s="93">
        <v>571.4674</v>
      </c>
      <c r="D14" s="93">
        <v>581.10310000000004</v>
      </c>
      <c r="E14" s="93">
        <v>581.62536999999998</v>
      </c>
      <c r="F14" s="93">
        <v>599.31835999999998</v>
      </c>
      <c r="G14" s="93">
        <v>616.43820000000005</v>
      </c>
      <c r="H14" s="93">
        <v>655.53110000000004</v>
      </c>
      <c r="I14" s="93">
        <v>685.13649999999996</v>
      </c>
      <c r="J14" s="93">
        <v>689.65783999999996</v>
      </c>
      <c r="L14" s="93" t="s">
        <v>77</v>
      </c>
      <c r="M14" s="93" t="s">
        <v>65</v>
      </c>
      <c r="O14" s="5" t="s">
        <v>77</v>
      </c>
      <c r="P14" s="5"/>
      <c r="Q14" s="23">
        <f t="shared" si="0"/>
        <v>571.4674</v>
      </c>
      <c r="R14" s="23">
        <f t="shared" si="1"/>
        <v>581.10310000000004</v>
      </c>
      <c r="S14" s="23">
        <f t="shared" si="2"/>
        <v>581.62536999999998</v>
      </c>
      <c r="T14" s="23">
        <f t="shared" si="3"/>
        <v>599.31835999999998</v>
      </c>
      <c r="U14" s="23">
        <f t="shared" si="4"/>
        <v>616.43820000000005</v>
      </c>
      <c r="V14" s="23">
        <f t="shared" si="5"/>
        <v>655.53110000000004</v>
      </c>
      <c r="W14" s="23">
        <f t="shared" si="6"/>
        <v>685.13649999999996</v>
      </c>
      <c r="X14" s="23">
        <f t="shared" si="7"/>
        <v>689.65783999999996</v>
      </c>
      <c r="Y14" s="93"/>
      <c r="AA14" s="23">
        <f t="shared" si="8"/>
        <v>583378557.5</v>
      </c>
      <c r="AB14" s="23">
        <f t="shared" si="9"/>
        <v>594621257.5</v>
      </c>
      <c r="AC14" s="23">
        <f t="shared" si="10"/>
        <v>613228257.5</v>
      </c>
      <c r="AD14" s="23">
        <f t="shared" si="11"/>
        <v>639106040</v>
      </c>
      <c r="AE14" s="23">
        <f t="shared" si="12"/>
        <v>661690910</v>
      </c>
    </row>
    <row r="15" spans="1:31" x14ac:dyDescent="0.2">
      <c r="A15" s="5" t="s">
        <v>76</v>
      </c>
      <c r="B15" s="5" t="s">
        <v>647</v>
      </c>
      <c r="C15" s="93">
        <v>14.509944000000001</v>
      </c>
      <c r="D15" s="93">
        <v>9.1986670000000004</v>
      </c>
      <c r="E15" s="93">
        <v>8.9226419999999997</v>
      </c>
      <c r="F15" s="93">
        <v>6.7737220000000002</v>
      </c>
      <c r="G15" s="93">
        <v>6.3252170000000003</v>
      </c>
      <c r="H15" s="93">
        <v>7.0940859999999999</v>
      </c>
      <c r="I15" s="93">
        <v>7.9503817999999997</v>
      </c>
      <c r="J15" s="93">
        <v>7.4046399999999997</v>
      </c>
      <c r="L15" s="93" t="s">
        <v>75</v>
      </c>
      <c r="M15" s="93" t="s">
        <v>41</v>
      </c>
      <c r="O15" s="5" t="s">
        <v>79</v>
      </c>
      <c r="P15" s="5"/>
      <c r="Q15" s="23">
        <f t="shared" si="0"/>
        <v>55.270960000000002</v>
      </c>
      <c r="R15" s="23">
        <f t="shared" si="1"/>
        <v>55.199738000000004</v>
      </c>
      <c r="S15" s="23">
        <f t="shared" si="2"/>
        <v>56.399417999999997</v>
      </c>
      <c r="T15" s="23">
        <f t="shared" si="3"/>
        <v>59.588687999999998</v>
      </c>
      <c r="U15" s="23">
        <f t="shared" si="4"/>
        <v>60.484596000000003</v>
      </c>
      <c r="V15" s="23">
        <f t="shared" si="5"/>
        <v>55.383949999999999</v>
      </c>
      <c r="W15" s="23">
        <f t="shared" si="6"/>
        <v>59.208767000000002</v>
      </c>
      <c r="X15" s="23">
        <f t="shared" si="7"/>
        <v>56.308500000000002</v>
      </c>
      <c r="Y15" s="93"/>
      <c r="AA15" s="23">
        <f t="shared" si="8"/>
        <v>56614701</v>
      </c>
      <c r="AB15" s="23">
        <f t="shared" si="9"/>
        <v>57918110</v>
      </c>
      <c r="AC15" s="23">
        <f t="shared" si="10"/>
        <v>57964163</v>
      </c>
      <c r="AD15" s="23">
        <f t="shared" si="11"/>
        <v>58666500.25</v>
      </c>
      <c r="AE15" s="23">
        <f t="shared" si="12"/>
        <v>57846453.25</v>
      </c>
    </row>
    <row r="16" spans="1:31" x14ac:dyDescent="0.2">
      <c r="A16" s="5" t="s">
        <v>67</v>
      </c>
      <c r="B16" s="5" t="s">
        <v>648</v>
      </c>
      <c r="C16" s="93">
        <v>1364.0404000000001</v>
      </c>
      <c r="D16" s="93">
        <v>1368.87</v>
      </c>
      <c r="E16" s="93">
        <v>1394.1641</v>
      </c>
      <c r="F16" s="93">
        <v>1421.1694</v>
      </c>
      <c r="G16" s="93">
        <v>1404.4258</v>
      </c>
      <c r="H16" s="93">
        <v>1419.9967999999999</v>
      </c>
      <c r="I16" s="93">
        <v>1409.0518</v>
      </c>
      <c r="J16" s="93">
        <v>1388.6783</v>
      </c>
      <c r="L16" s="93" t="s">
        <v>66</v>
      </c>
      <c r="M16" s="93" t="s">
        <v>65</v>
      </c>
      <c r="O16" s="5" t="s">
        <v>81</v>
      </c>
      <c r="P16" s="5"/>
      <c r="Q16" s="23">
        <f t="shared" si="0"/>
        <v>682.2962</v>
      </c>
      <c r="R16" s="23">
        <f t="shared" si="1"/>
        <v>686.16949999999997</v>
      </c>
      <c r="S16" s="23">
        <f t="shared" si="2"/>
        <v>584.49567000000002</v>
      </c>
      <c r="T16" s="23">
        <f t="shared" si="3"/>
        <v>588.31439999999998</v>
      </c>
      <c r="U16" s="23">
        <f t="shared" si="4"/>
        <v>563.48059999999998</v>
      </c>
      <c r="V16" s="23">
        <f t="shared" si="5"/>
        <v>656.29016000000001</v>
      </c>
      <c r="W16" s="23">
        <f t="shared" si="6"/>
        <v>674.54949999999997</v>
      </c>
      <c r="X16" s="23">
        <f t="shared" si="7"/>
        <v>560.57916</v>
      </c>
      <c r="Y16" s="93"/>
      <c r="AA16" s="23">
        <f t="shared" si="8"/>
        <v>635318942.5</v>
      </c>
      <c r="AB16" s="23">
        <f t="shared" si="9"/>
        <v>605615042.5</v>
      </c>
      <c r="AC16" s="23">
        <f t="shared" si="10"/>
        <v>598145207.5</v>
      </c>
      <c r="AD16" s="23">
        <f t="shared" si="11"/>
        <v>620658665</v>
      </c>
      <c r="AE16" s="23">
        <f t="shared" si="12"/>
        <v>613724854.99999988</v>
      </c>
    </row>
    <row r="17" spans="1:32" x14ac:dyDescent="0.2">
      <c r="A17" s="5" t="s">
        <v>82</v>
      </c>
      <c r="B17" s="5" t="s">
        <v>649</v>
      </c>
      <c r="C17" s="93">
        <v>682.2962</v>
      </c>
      <c r="D17" s="93">
        <v>686.16949999999997</v>
      </c>
      <c r="E17" s="93">
        <v>584.49567000000002</v>
      </c>
      <c r="F17" s="93">
        <v>588.31439999999998</v>
      </c>
      <c r="G17" s="93">
        <v>563.48059999999998</v>
      </c>
      <c r="H17" s="93">
        <v>656.29016000000001</v>
      </c>
      <c r="I17" s="93">
        <v>674.54949999999997</v>
      </c>
      <c r="J17" s="93">
        <v>560.57916</v>
      </c>
      <c r="L17" s="93" t="s">
        <v>81</v>
      </c>
      <c r="M17" s="93" t="s">
        <v>65</v>
      </c>
      <c r="O17" s="5" t="s">
        <v>83</v>
      </c>
      <c r="P17" s="5"/>
      <c r="Q17" s="23">
        <f t="shared" si="0"/>
        <v>435.04358000000002</v>
      </c>
      <c r="R17" s="23">
        <f t="shared" si="1"/>
        <v>433.92187999999999</v>
      </c>
      <c r="S17" s="23">
        <f t="shared" si="2"/>
        <v>442.18819999999999</v>
      </c>
      <c r="T17" s="23">
        <f t="shared" si="3"/>
        <v>444.80756000000002</v>
      </c>
      <c r="U17" s="23">
        <f t="shared" si="4"/>
        <v>445.33846999999997</v>
      </c>
      <c r="V17" s="23">
        <f t="shared" si="5"/>
        <v>452.15863000000002</v>
      </c>
      <c r="W17" s="23">
        <f t="shared" si="6"/>
        <v>457.79311999999999</v>
      </c>
      <c r="X17" s="23">
        <f t="shared" si="7"/>
        <v>464.23343</v>
      </c>
      <c r="Y17" s="93"/>
      <c r="AA17" s="23">
        <f t="shared" si="8"/>
        <v>438990305</v>
      </c>
      <c r="AB17" s="23">
        <f t="shared" si="9"/>
        <v>441564027.49999994</v>
      </c>
      <c r="AC17" s="23">
        <f t="shared" si="10"/>
        <v>446123214.99999994</v>
      </c>
      <c r="AD17" s="23">
        <f t="shared" si="11"/>
        <v>450024445</v>
      </c>
      <c r="AE17" s="23">
        <f t="shared" si="12"/>
        <v>454880912.5</v>
      </c>
    </row>
    <row r="18" spans="1:32" ht="28.5" x14ac:dyDescent="0.2">
      <c r="A18" s="5" t="s">
        <v>86</v>
      </c>
      <c r="B18" s="5" t="s">
        <v>650</v>
      </c>
      <c r="C18" s="93">
        <v>301.30117999999999</v>
      </c>
      <c r="D18" s="93">
        <v>306.12006000000002</v>
      </c>
      <c r="E18" s="93">
        <v>305.45996000000002</v>
      </c>
      <c r="F18" s="93">
        <v>307.36430000000001</v>
      </c>
      <c r="G18" s="93">
        <v>306.67039999999997</v>
      </c>
      <c r="H18" s="93">
        <v>309.02258</v>
      </c>
      <c r="I18" s="93">
        <v>314.98862000000003</v>
      </c>
      <c r="J18" s="93">
        <v>182.83678</v>
      </c>
      <c r="L18" s="5" t="s">
        <v>85</v>
      </c>
      <c r="M18" s="93" t="s">
        <v>65</v>
      </c>
      <c r="O18" s="5" t="s">
        <v>85</v>
      </c>
      <c r="P18" s="95"/>
      <c r="Q18" s="23">
        <f t="shared" ref="Q18:X18" si="13">_xlfn.XLOOKUP($O18,$L$8:$L$74,C$8:C$74,FALSE)+C19</f>
        <v>301.30117999999999</v>
      </c>
      <c r="R18" s="23">
        <f t="shared" si="13"/>
        <v>306.12006000000002</v>
      </c>
      <c r="S18" s="23">
        <f t="shared" si="13"/>
        <v>305.45996000000002</v>
      </c>
      <c r="T18" s="23">
        <f t="shared" si="13"/>
        <v>307.36430000000001</v>
      </c>
      <c r="U18" s="23">
        <f t="shared" si="13"/>
        <v>306.67039999999997</v>
      </c>
      <c r="V18" s="23">
        <f t="shared" si="13"/>
        <v>309.02258</v>
      </c>
      <c r="W18" s="23">
        <f t="shared" si="13"/>
        <v>314.98862000000003</v>
      </c>
      <c r="X18" s="23">
        <f t="shared" si="13"/>
        <v>315.32101999999998</v>
      </c>
      <c r="Y18" s="93" t="s">
        <v>651</v>
      </c>
      <c r="AA18" s="23">
        <f t="shared" si="8"/>
        <v>305061375</v>
      </c>
      <c r="AB18" s="23">
        <f t="shared" si="9"/>
        <v>306403680</v>
      </c>
      <c r="AC18" s="23">
        <f t="shared" si="10"/>
        <v>307129310.00000006</v>
      </c>
      <c r="AD18" s="23">
        <f t="shared" si="11"/>
        <v>309511475</v>
      </c>
      <c r="AE18" s="23">
        <f t="shared" si="12"/>
        <v>311500655.00000006</v>
      </c>
    </row>
    <row r="19" spans="1:32" x14ac:dyDescent="0.2">
      <c r="A19" s="5" t="s">
        <v>86</v>
      </c>
      <c r="B19" s="5" t="s">
        <v>652</v>
      </c>
      <c r="C19" s="93"/>
      <c r="D19" s="93"/>
      <c r="E19" s="93"/>
      <c r="F19" s="93"/>
      <c r="G19" s="93"/>
      <c r="H19" s="93"/>
      <c r="I19" s="93"/>
      <c r="J19" s="93">
        <v>132.48424</v>
      </c>
      <c r="L19" s="5" t="s">
        <v>85</v>
      </c>
      <c r="M19" s="93" t="s">
        <v>65</v>
      </c>
      <c r="O19" s="5" t="s">
        <v>87</v>
      </c>
      <c r="P19" s="5"/>
      <c r="Q19" s="23">
        <f t="shared" ref="Q19:X20" si="14">_xlfn.XLOOKUP($O19,$L$8:$L$74,C$8:C$74,FALSE)</f>
        <v>49.478706000000003</v>
      </c>
      <c r="R19" s="23">
        <f t="shared" si="14"/>
        <v>10.857355999999999</v>
      </c>
      <c r="S19" s="23">
        <f t="shared" si="14"/>
        <v>3.2819219999999998</v>
      </c>
      <c r="T19" s="23">
        <f t="shared" si="14"/>
        <v>6.1641529999999998</v>
      </c>
      <c r="U19" s="23">
        <f t="shared" si="14"/>
        <v>5.5474873000000002</v>
      </c>
      <c r="V19" s="23">
        <f t="shared" si="14"/>
        <v>6.5087089999999996</v>
      </c>
      <c r="W19" s="23">
        <f t="shared" si="14"/>
        <v>3.2031679999999998</v>
      </c>
      <c r="X19" s="23">
        <f t="shared" si="14"/>
        <v>4.9305130000000004</v>
      </c>
      <c r="Y19" s="93"/>
      <c r="AA19" s="23">
        <f t="shared" si="8"/>
        <v>17445534.25</v>
      </c>
      <c r="AB19" s="23">
        <f t="shared" si="9"/>
        <v>6462729.5750000002</v>
      </c>
      <c r="AC19" s="23">
        <f t="shared" si="10"/>
        <v>5375567.8250000002</v>
      </c>
      <c r="AD19" s="23">
        <f t="shared" si="11"/>
        <v>5355879.3250000002</v>
      </c>
      <c r="AE19" s="23">
        <f t="shared" si="12"/>
        <v>5047469.3250000002</v>
      </c>
    </row>
    <row r="20" spans="1:32" x14ac:dyDescent="0.2">
      <c r="A20" s="5" t="s">
        <v>653</v>
      </c>
      <c r="B20" s="5" t="s">
        <v>654</v>
      </c>
      <c r="C20" s="93">
        <v>435.04358000000002</v>
      </c>
      <c r="D20" s="93">
        <v>433.92187999999999</v>
      </c>
      <c r="E20" s="93">
        <v>442.18819999999999</v>
      </c>
      <c r="F20" s="93">
        <v>444.80756000000002</v>
      </c>
      <c r="G20" s="93">
        <v>445.33846999999997</v>
      </c>
      <c r="H20" s="93">
        <v>452.15863000000002</v>
      </c>
      <c r="I20" s="93">
        <v>457.79311999999999</v>
      </c>
      <c r="J20" s="93">
        <v>464.23343</v>
      </c>
      <c r="L20" s="93" t="s">
        <v>83</v>
      </c>
      <c r="M20" s="93" t="s">
        <v>65</v>
      </c>
      <c r="O20" s="5" t="s">
        <v>89</v>
      </c>
      <c r="P20" s="5"/>
      <c r="Q20" s="23">
        <f t="shared" si="14"/>
        <v>501.00385</v>
      </c>
      <c r="R20" s="23">
        <f t="shared" si="14"/>
        <v>512.51139999999998</v>
      </c>
      <c r="S20" s="23">
        <f t="shared" si="14"/>
        <v>486.84845000000001</v>
      </c>
      <c r="T20" s="23">
        <f t="shared" si="14"/>
        <v>492.07805999999999</v>
      </c>
      <c r="U20" s="23">
        <f t="shared" si="14"/>
        <v>486.58672999999999</v>
      </c>
      <c r="V20" s="23">
        <f t="shared" si="14"/>
        <v>488.27596999999997</v>
      </c>
      <c r="W20" s="23">
        <f t="shared" si="14"/>
        <v>492.43511999999998</v>
      </c>
      <c r="X20" s="23">
        <f t="shared" si="14"/>
        <v>506.80745999999999</v>
      </c>
      <c r="Y20" s="93"/>
      <c r="AA20" s="23">
        <f t="shared" si="8"/>
        <v>498110440</v>
      </c>
      <c r="AB20" s="23">
        <f t="shared" si="9"/>
        <v>494506160</v>
      </c>
      <c r="AC20" s="23">
        <f t="shared" si="10"/>
        <v>488447302.5</v>
      </c>
      <c r="AD20" s="23">
        <f t="shared" si="11"/>
        <v>489843970</v>
      </c>
      <c r="AE20" s="23">
        <f t="shared" si="12"/>
        <v>493526319.99999994</v>
      </c>
    </row>
    <row r="21" spans="1:32" ht="42.75" x14ac:dyDescent="0.2">
      <c r="A21" s="5" t="s">
        <v>655</v>
      </c>
      <c r="B21" s="5" t="s">
        <v>656</v>
      </c>
      <c r="C21" s="93">
        <v>259.97014999999999</v>
      </c>
      <c r="D21" s="93">
        <v>256.76607999999999</v>
      </c>
      <c r="E21" s="93">
        <v>255.09663</v>
      </c>
      <c r="F21" s="93">
        <v>252.75051999999999</v>
      </c>
      <c r="G21" s="93">
        <v>245.31926999999999</v>
      </c>
      <c r="H21" s="93">
        <v>251.71501000000001</v>
      </c>
      <c r="I21" s="93">
        <v>253.1251</v>
      </c>
      <c r="J21" s="93">
        <v>237.95232999999999</v>
      </c>
      <c r="L21" s="93" t="s">
        <v>137</v>
      </c>
      <c r="M21" s="93" t="s">
        <v>65</v>
      </c>
      <c r="O21" s="5" t="s">
        <v>91</v>
      </c>
      <c r="P21" s="5"/>
      <c r="Q21" s="23">
        <f t="shared" ref="Q21:X21" si="15">SUM(C43:C44)</f>
        <v>45.578029999999998</v>
      </c>
      <c r="R21" s="23">
        <f t="shared" si="15"/>
        <v>60.349600000000002</v>
      </c>
      <c r="S21" s="23">
        <f t="shared" si="15"/>
        <v>56.415184000000004</v>
      </c>
      <c r="T21" s="23">
        <f t="shared" si="15"/>
        <v>50.657474999999998</v>
      </c>
      <c r="U21" s="23">
        <f t="shared" si="15"/>
        <v>51.597503000000003</v>
      </c>
      <c r="V21" s="23">
        <f t="shared" si="15"/>
        <v>45.11665</v>
      </c>
      <c r="W21" s="23">
        <f t="shared" si="15"/>
        <v>44.562061999999997</v>
      </c>
      <c r="X21" s="23">
        <f t="shared" si="15"/>
        <v>32.723185200000003</v>
      </c>
      <c r="Y21" s="93" t="s">
        <v>657</v>
      </c>
      <c r="AA21" s="23">
        <f t="shared" si="8"/>
        <v>53250072.25</v>
      </c>
      <c r="AB21" s="23">
        <f t="shared" si="9"/>
        <v>54754940.5</v>
      </c>
      <c r="AC21" s="23">
        <f t="shared" si="10"/>
        <v>50946703</v>
      </c>
      <c r="AD21" s="23">
        <f t="shared" si="11"/>
        <v>47983422.499999993</v>
      </c>
      <c r="AE21" s="23">
        <f t="shared" si="12"/>
        <v>43499850.050000004</v>
      </c>
    </row>
    <row r="22" spans="1:32" ht="42.75" x14ac:dyDescent="0.2">
      <c r="A22" s="5" t="s">
        <v>88</v>
      </c>
      <c r="B22" s="5" t="s">
        <v>658</v>
      </c>
      <c r="C22" s="93">
        <v>49.478706000000003</v>
      </c>
      <c r="D22" s="93">
        <v>10.857355999999999</v>
      </c>
      <c r="E22" s="93">
        <v>3.2819219999999998</v>
      </c>
      <c r="F22" s="93">
        <v>6.1641529999999998</v>
      </c>
      <c r="G22" s="93">
        <v>5.5474873000000002</v>
      </c>
      <c r="H22" s="93">
        <v>6.5087089999999996</v>
      </c>
      <c r="I22" s="93">
        <v>3.2031679999999998</v>
      </c>
      <c r="J22" s="93">
        <v>4.9305130000000004</v>
      </c>
      <c r="L22" s="93" t="s">
        <v>87</v>
      </c>
      <c r="M22" s="93" t="s">
        <v>41</v>
      </c>
      <c r="O22" s="95" t="s">
        <v>93</v>
      </c>
      <c r="P22" s="95"/>
      <c r="Q22" s="23">
        <f t="shared" ref="Q22:X22" si="16">SUM(C34:C36)</f>
        <v>650.18407250000007</v>
      </c>
      <c r="R22" s="23">
        <f t="shared" si="16"/>
        <v>663.30956600000002</v>
      </c>
      <c r="S22" s="23">
        <f t="shared" si="16"/>
        <v>632.06086300000004</v>
      </c>
      <c r="T22" s="23">
        <f t="shared" si="16"/>
        <v>631.13560000000007</v>
      </c>
      <c r="U22" s="23">
        <f t="shared" si="16"/>
        <v>633.464923</v>
      </c>
      <c r="V22" s="23">
        <f t="shared" si="16"/>
        <v>667.79878500000007</v>
      </c>
      <c r="W22" s="23">
        <f t="shared" si="16"/>
        <v>680.56595200000004</v>
      </c>
      <c r="X22" s="23">
        <f t="shared" si="16"/>
        <v>649.10792900000001</v>
      </c>
      <c r="Y22" s="93" t="s">
        <v>659</v>
      </c>
      <c r="AA22" s="23">
        <f t="shared" si="8"/>
        <v>644172525.37500012</v>
      </c>
      <c r="AB22" s="23">
        <f t="shared" si="9"/>
        <v>639992738</v>
      </c>
      <c r="AC22" s="23">
        <f t="shared" si="10"/>
        <v>641115042.75</v>
      </c>
      <c r="AD22" s="23">
        <f t="shared" si="11"/>
        <v>653241315</v>
      </c>
      <c r="AE22" s="23">
        <f t="shared" si="12"/>
        <v>657734397.25</v>
      </c>
    </row>
    <row r="23" spans="1:32" ht="28.5" x14ac:dyDescent="0.2">
      <c r="A23" s="5" t="s">
        <v>660</v>
      </c>
      <c r="B23" s="5" t="s">
        <v>661</v>
      </c>
      <c r="C23" s="93">
        <v>1640.7081000000001</v>
      </c>
      <c r="D23" s="93">
        <v>1658.8738000000001</v>
      </c>
      <c r="E23" s="93">
        <v>1673.2782999999999</v>
      </c>
      <c r="F23" s="93">
        <v>1701.3679999999999</v>
      </c>
      <c r="G23" s="93">
        <v>1698.6722</v>
      </c>
      <c r="H23" s="93">
        <v>1694.4386</v>
      </c>
      <c r="I23" s="93">
        <v>1737.1968999999999</v>
      </c>
      <c r="J23" s="93">
        <v>1753.5172</v>
      </c>
      <c r="L23" s="93" t="s">
        <v>149</v>
      </c>
      <c r="M23" s="93" t="s">
        <v>65</v>
      </c>
      <c r="O23" s="5" t="s">
        <v>95</v>
      </c>
      <c r="P23" s="5"/>
      <c r="Q23" s="23">
        <f t="shared" ref="Q23:X23" si="17">C13+C64+C65</f>
        <v>2.4806241</v>
      </c>
      <c r="R23" s="23">
        <f t="shared" si="17"/>
        <v>1.0959430000000001</v>
      </c>
      <c r="S23" s="23">
        <f t="shared" si="17"/>
        <v>0.71320099999999997</v>
      </c>
      <c r="T23" s="23">
        <f t="shared" si="17"/>
        <v>0.69080699999999995</v>
      </c>
      <c r="U23" s="23">
        <f t="shared" si="17"/>
        <v>0.99123700000000003</v>
      </c>
      <c r="V23" s="23">
        <f t="shared" si="17"/>
        <v>1.4722351</v>
      </c>
      <c r="W23" s="23">
        <f t="shared" si="17"/>
        <v>1.2275119999999999</v>
      </c>
      <c r="X23" s="23">
        <f t="shared" si="17"/>
        <v>2.0510770000000003</v>
      </c>
      <c r="Y23" s="93"/>
      <c r="AA23" s="23">
        <f>'Calculations - Part 1'!$F$23</f>
        <v>112125.0594066098</v>
      </c>
      <c r="AB23" s="23">
        <f>'Calculations - Part 1'!$F$23</f>
        <v>112125.0594066098</v>
      </c>
      <c r="AC23" s="23">
        <f>'Calculations - Part 1'!$F$23</f>
        <v>112125.0594066098</v>
      </c>
      <c r="AD23" s="23">
        <f>'Calculations - Part 1'!$F$23</f>
        <v>112125.0594066098</v>
      </c>
      <c r="AE23" s="23">
        <f>'Calculations - Part 1'!$F$23</f>
        <v>112125.0594066098</v>
      </c>
      <c r="AF23" s="93" t="s">
        <v>662</v>
      </c>
    </row>
    <row r="24" spans="1:32" x14ac:dyDescent="0.2">
      <c r="A24" s="5" t="s">
        <v>663</v>
      </c>
      <c r="B24" s="5" t="s">
        <v>664</v>
      </c>
      <c r="C24" s="93">
        <v>501.00385</v>
      </c>
      <c r="D24" s="93">
        <v>512.51139999999998</v>
      </c>
      <c r="E24" s="93">
        <v>486.84845000000001</v>
      </c>
      <c r="F24" s="93">
        <v>492.07805999999999</v>
      </c>
      <c r="G24" s="93">
        <v>486.58672999999999</v>
      </c>
      <c r="H24" s="93">
        <v>488.27596999999997</v>
      </c>
      <c r="I24" s="93">
        <v>492.43511999999998</v>
      </c>
      <c r="J24" s="93">
        <v>506.80745999999999</v>
      </c>
      <c r="L24" s="93" t="s">
        <v>89</v>
      </c>
      <c r="M24" s="93" t="s">
        <v>65</v>
      </c>
      <c r="O24" s="5" t="s">
        <v>97</v>
      </c>
      <c r="P24" s="5"/>
      <c r="Q24" s="23">
        <f t="shared" ref="Q24:X24" si="18">_xlfn.XLOOKUP($O24,$L$8:$L$74,C$8:C$74,FALSE)</f>
        <v>395.79108000000002</v>
      </c>
      <c r="R24" s="23">
        <f t="shared" si="18"/>
        <v>401.29653999999999</v>
      </c>
      <c r="S24" s="23">
        <f t="shared" si="18"/>
        <v>396.24124</v>
      </c>
      <c r="T24" s="23">
        <f t="shared" si="18"/>
        <v>402.3759</v>
      </c>
      <c r="U24" s="23">
        <f t="shared" si="18"/>
        <v>406.8297</v>
      </c>
      <c r="V24" s="23">
        <f t="shared" si="18"/>
        <v>416.05444</v>
      </c>
      <c r="W24" s="23">
        <f t="shared" si="18"/>
        <v>417.24808000000002</v>
      </c>
      <c r="X24" s="23">
        <f t="shared" si="18"/>
        <v>409.19492000000002</v>
      </c>
      <c r="Y24" s="93"/>
      <c r="AA24" s="23">
        <f t="shared" ref="AA24:AA55" si="19">AVERAGE(Q24:T24)*1000000</f>
        <v>398926190</v>
      </c>
      <c r="AB24" s="23">
        <f t="shared" ref="AB24:AB55" si="20">AVERAGE(R24:U24)*1000000</f>
        <v>401685845</v>
      </c>
      <c r="AC24" s="23">
        <f t="shared" ref="AC24:AC55" si="21">AVERAGE(S24:V24)*1000000</f>
        <v>405375320</v>
      </c>
      <c r="AD24" s="23">
        <f t="shared" ref="AD24:AD55" si="22">AVERAGE(T24:W24)*1000000</f>
        <v>410627030.00000006</v>
      </c>
      <c r="AE24" s="23">
        <f t="shared" ref="AE24:AE55" si="23">AVERAGE(U24:X24)*1000000</f>
        <v>412331784.99999994</v>
      </c>
    </row>
    <row r="25" spans="1:32" x14ac:dyDescent="0.2">
      <c r="A25" s="5" t="s">
        <v>665</v>
      </c>
      <c r="B25" s="5" t="s">
        <v>666</v>
      </c>
      <c r="C25" s="93">
        <v>8.0470005000000001E-3</v>
      </c>
      <c r="D25" s="93">
        <v>8.4256999999999999E-2</v>
      </c>
      <c r="E25" s="93">
        <v>1.0399999999999999E-4</v>
      </c>
      <c r="F25" s="93">
        <v>3.3519999999999999E-3</v>
      </c>
      <c r="G25" s="93">
        <v>2.4731E-2</v>
      </c>
      <c r="H25" s="93">
        <v>8.0598000000000003E-2</v>
      </c>
      <c r="I25" s="93">
        <v>7.2730000000000003E-2</v>
      </c>
      <c r="J25" s="93">
        <v>1.369E-3</v>
      </c>
      <c r="L25" s="93"/>
      <c r="M25" s="93"/>
      <c r="O25" s="5" t="s">
        <v>99</v>
      </c>
      <c r="P25" s="5"/>
      <c r="Q25" s="23">
        <v>0</v>
      </c>
      <c r="R25" s="23">
        <v>0</v>
      </c>
      <c r="S25" s="23">
        <v>0</v>
      </c>
      <c r="T25" s="23" t="s">
        <v>667</v>
      </c>
      <c r="U25" s="23">
        <v>0</v>
      </c>
      <c r="V25" s="23">
        <v>0</v>
      </c>
      <c r="W25" s="23">
        <v>0</v>
      </c>
      <c r="X25" s="23">
        <v>0</v>
      </c>
      <c r="Y25" s="93" t="s">
        <v>668</v>
      </c>
      <c r="AA25" s="23">
        <f t="shared" si="19"/>
        <v>0</v>
      </c>
      <c r="AB25" s="23">
        <f t="shared" si="20"/>
        <v>0</v>
      </c>
      <c r="AC25" s="23">
        <f t="shared" si="21"/>
        <v>0</v>
      </c>
      <c r="AD25" s="23">
        <f t="shared" si="22"/>
        <v>0</v>
      </c>
      <c r="AE25" s="23">
        <f t="shared" si="23"/>
        <v>0</v>
      </c>
    </row>
    <row r="26" spans="1:32" x14ac:dyDescent="0.2">
      <c r="A26" s="5" t="s">
        <v>669</v>
      </c>
      <c r="B26" s="5" t="s">
        <v>670</v>
      </c>
      <c r="C26" s="93"/>
      <c r="D26" s="93"/>
      <c r="E26" s="93"/>
      <c r="F26" s="93"/>
      <c r="G26" s="93"/>
      <c r="H26" s="93"/>
      <c r="I26" s="93"/>
      <c r="J26" s="93"/>
      <c r="L26" s="93"/>
      <c r="M26" s="93"/>
      <c r="O26" s="5" t="s">
        <v>101</v>
      </c>
      <c r="P26" s="5"/>
      <c r="Q26" s="23">
        <v>0</v>
      </c>
      <c r="R26" s="23">
        <v>0</v>
      </c>
      <c r="S26" s="23">
        <v>0</v>
      </c>
      <c r="T26" s="23">
        <v>0</v>
      </c>
      <c r="U26" s="23">
        <v>0</v>
      </c>
      <c r="V26" s="23">
        <v>0</v>
      </c>
      <c r="W26" s="23">
        <v>0</v>
      </c>
      <c r="X26" s="23">
        <v>0</v>
      </c>
      <c r="Y26" s="93" t="s">
        <v>668</v>
      </c>
      <c r="AA26" s="23">
        <f t="shared" si="19"/>
        <v>0</v>
      </c>
      <c r="AB26" s="23">
        <f t="shared" si="20"/>
        <v>0</v>
      </c>
      <c r="AC26" s="23">
        <f t="shared" si="21"/>
        <v>0</v>
      </c>
      <c r="AD26" s="23">
        <f t="shared" si="22"/>
        <v>0</v>
      </c>
      <c r="AE26" s="23">
        <f t="shared" si="23"/>
        <v>0</v>
      </c>
    </row>
    <row r="27" spans="1:32" ht="42.75" x14ac:dyDescent="0.2">
      <c r="A27" s="5" t="s">
        <v>671</v>
      </c>
      <c r="B27" s="5" t="s">
        <v>672</v>
      </c>
      <c r="C27" s="93">
        <v>4.5006997999999999E-2</v>
      </c>
      <c r="D27" s="93">
        <v>1.4747E-2</v>
      </c>
      <c r="E27" s="93">
        <v>0.23886599999999999</v>
      </c>
      <c r="F27" s="93">
        <v>0.299263</v>
      </c>
      <c r="G27" s="93">
        <v>1.5823E-2</v>
      </c>
      <c r="H27" s="93">
        <v>0.16774</v>
      </c>
      <c r="I27" s="93">
        <v>0.22184101000000001</v>
      </c>
      <c r="J27" s="93">
        <v>0.27400600000000003</v>
      </c>
      <c r="L27" s="93"/>
      <c r="M27" s="93"/>
      <c r="O27" s="95" t="s">
        <v>103</v>
      </c>
      <c r="P27" s="95"/>
      <c r="Q27" s="23">
        <f t="shared" ref="Q27:X27" si="24">SUM(C37:C38)+C66</f>
        <v>90.95802900000001</v>
      </c>
      <c r="R27" s="23">
        <f t="shared" si="24"/>
        <v>90.914493999999991</v>
      </c>
      <c r="S27" s="23">
        <f t="shared" si="24"/>
        <v>81.333579999999998</v>
      </c>
      <c r="T27" s="23">
        <f t="shared" si="24"/>
        <v>83.504949000000011</v>
      </c>
      <c r="U27" s="23">
        <f t="shared" si="24"/>
        <v>84.656598000000002</v>
      </c>
      <c r="V27" s="23">
        <f t="shared" si="24"/>
        <v>93.036586999999997</v>
      </c>
      <c r="W27" s="23">
        <f t="shared" si="24"/>
        <v>94.002957999999992</v>
      </c>
      <c r="X27" s="23">
        <f t="shared" si="24"/>
        <v>92.865857000000005</v>
      </c>
      <c r="Y27" s="93" t="s">
        <v>673</v>
      </c>
      <c r="AA27" s="23">
        <f t="shared" si="19"/>
        <v>86677763</v>
      </c>
      <c r="AB27" s="23">
        <f t="shared" si="20"/>
        <v>85102405.25</v>
      </c>
      <c r="AC27" s="23">
        <f t="shared" si="21"/>
        <v>85632928.499999985</v>
      </c>
      <c r="AD27" s="23">
        <f t="shared" si="22"/>
        <v>88800272.999999985</v>
      </c>
      <c r="AE27" s="23">
        <f t="shared" si="23"/>
        <v>91140500</v>
      </c>
    </row>
    <row r="28" spans="1:32" ht="28.5" x14ac:dyDescent="0.2">
      <c r="A28" s="5" t="s">
        <v>69</v>
      </c>
      <c r="B28" s="5" t="s">
        <v>674</v>
      </c>
      <c r="C28" s="93">
        <v>63.27617</v>
      </c>
      <c r="D28" s="93">
        <v>57.594450000000002</v>
      </c>
      <c r="E28" s="93">
        <v>53.070923000000001</v>
      </c>
      <c r="F28" s="93">
        <v>61.989350000000002</v>
      </c>
      <c r="G28" s="93">
        <v>68.132220000000004</v>
      </c>
      <c r="H28" s="93">
        <v>64.334854000000007</v>
      </c>
      <c r="I28" s="93">
        <v>65.782929999999993</v>
      </c>
      <c r="J28" s="93">
        <v>98.759444999999999</v>
      </c>
      <c r="L28" s="93" t="s">
        <v>68</v>
      </c>
      <c r="M28" s="93" t="s">
        <v>70</v>
      </c>
      <c r="O28" s="5" t="s">
        <v>105</v>
      </c>
      <c r="P28" s="5"/>
      <c r="Q28" s="23">
        <v>0</v>
      </c>
      <c r="R28" s="23">
        <v>0</v>
      </c>
      <c r="S28" s="23">
        <v>0</v>
      </c>
      <c r="T28" s="23">
        <v>0</v>
      </c>
      <c r="U28" s="23">
        <v>0</v>
      </c>
      <c r="V28" s="23">
        <v>0</v>
      </c>
      <c r="W28" s="23">
        <v>0</v>
      </c>
      <c r="X28" s="23">
        <v>0</v>
      </c>
      <c r="Y28" s="93" t="s">
        <v>668</v>
      </c>
      <c r="AA28" s="23">
        <f t="shared" si="19"/>
        <v>0</v>
      </c>
      <c r="AB28" s="23">
        <f t="shared" si="20"/>
        <v>0</v>
      </c>
      <c r="AC28" s="23">
        <f t="shared" si="21"/>
        <v>0</v>
      </c>
      <c r="AD28" s="23">
        <f t="shared" si="22"/>
        <v>0</v>
      </c>
      <c r="AE28" s="23">
        <f t="shared" si="23"/>
        <v>0</v>
      </c>
    </row>
    <row r="29" spans="1:32" x14ac:dyDescent="0.2">
      <c r="A29" s="5" t="s">
        <v>675</v>
      </c>
      <c r="B29" s="5" t="s">
        <v>676</v>
      </c>
      <c r="C29" s="93">
        <v>307.09244000000001</v>
      </c>
      <c r="D29" s="93">
        <v>324.97903000000002</v>
      </c>
      <c r="E29" s="93">
        <v>334.17180000000002</v>
      </c>
      <c r="F29" s="93">
        <v>328.42169999999999</v>
      </c>
      <c r="G29" s="93">
        <v>325.5804</v>
      </c>
      <c r="H29" s="93">
        <v>307.77663999999999</v>
      </c>
      <c r="I29" s="93">
        <v>319.21042</v>
      </c>
      <c r="J29" s="93">
        <v>314.06040000000002</v>
      </c>
      <c r="L29" s="93" t="s">
        <v>145</v>
      </c>
      <c r="M29" s="93" t="s">
        <v>65</v>
      </c>
      <c r="O29" s="5" t="s">
        <v>107</v>
      </c>
      <c r="P29" s="5"/>
      <c r="Q29" s="23">
        <f t="shared" ref="Q29:X35" si="25">_xlfn.XLOOKUP($O29,$L$8:$L$74,C$8:C$74,FALSE)</f>
        <v>9.7417719999999992</v>
      </c>
      <c r="R29" s="23">
        <f t="shared" si="25"/>
        <v>12.030023999999999</v>
      </c>
      <c r="S29" s="23">
        <f t="shared" si="25"/>
        <v>10.391095</v>
      </c>
      <c r="T29" s="23">
        <f t="shared" si="25"/>
        <v>14.097250000000001</v>
      </c>
      <c r="U29" s="23">
        <f t="shared" si="25"/>
        <v>8.6836059999999993</v>
      </c>
      <c r="V29" s="23">
        <f t="shared" si="25"/>
        <v>7.1257143000000003</v>
      </c>
      <c r="W29" s="23">
        <f t="shared" si="25"/>
        <v>8.4071569999999998</v>
      </c>
      <c r="X29" s="23">
        <f t="shared" si="25"/>
        <v>8.7268640000000008</v>
      </c>
      <c r="Y29" s="93" t="s">
        <v>668</v>
      </c>
      <c r="AA29" s="23">
        <f t="shared" si="19"/>
        <v>11565035.250000002</v>
      </c>
      <c r="AB29" s="23">
        <f t="shared" si="20"/>
        <v>11300493.75</v>
      </c>
      <c r="AC29" s="23">
        <f t="shared" si="21"/>
        <v>10074416.324999999</v>
      </c>
      <c r="AD29" s="23">
        <f t="shared" si="22"/>
        <v>9578431.8249999993</v>
      </c>
      <c r="AE29" s="23">
        <f t="shared" si="23"/>
        <v>8235835.3250000002</v>
      </c>
    </row>
    <row r="30" spans="1:32" x14ac:dyDescent="0.2">
      <c r="A30" s="5" t="s">
        <v>677</v>
      </c>
      <c r="B30" s="5" t="s">
        <v>678</v>
      </c>
      <c r="C30" s="93">
        <v>12.108202</v>
      </c>
      <c r="D30" s="93">
        <v>15.196357000000001</v>
      </c>
      <c r="E30" s="93">
        <v>20.630447</v>
      </c>
      <c r="F30" s="93">
        <v>25.343810000000001</v>
      </c>
      <c r="G30" s="93">
        <v>29.369759999999999</v>
      </c>
      <c r="H30" s="93">
        <v>31.718252</v>
      </c>
      <c r="I30" s="93">
        <v>34.023789999999998</v>
      </c>
      <c r="J30" s="93">
        <v>38.369140000000002</v>
      </c>
      <c r="L30" s="93" t="s">
        <v>638</v>
      </c>
      <c r="M30" s="93" t="s">
        <v>679</v>
      </c>
      <c r="O30" s="5" t="s">
        <v>109</v>
      </c>
      <c r="P30" s="5"/>
      <c r="Q30" s="23">
        <f t="shared" si="25"/>
        <v>52.424399999999999</v>
      </c>
      <c r="R30" s="23">
        <f t="shared" si="25"/>
        <v>50.295290000000001</v>
      </c>
      <c r="S30" s="23">
        <f t="shared" si="25"/>
        <v>50.532893999999999</v>
      </c>
      <c r="T30" s="23">
        <f t="shared" si="25"/>
        <v>47.318280000000001</v>
      </c>
      <c r="U30" s="23">
        <f t="shared" si="25"/>
        <v>51.662964000000002</v>
      </c>
      <c r="V30" s="23">
        <f t="shared" si="25"/>
        <v>48.798850000000002</v>
      </c>
      <c r="W30" s="23">
        <f t="shared" si="25"/>
        <v>46.712359999999997</v>
      </c>
      <c r="X30" s="23">
        <f t="shared" si="25"/>
        <v>50.014373999999997</v>
      </c>
      <c r="Y30" s="93"/>
      <c r="AA30" s="23">
        <f t="shared" si="19"/>
        <v>50142716.000000007</v>
      </c>
      <c r="AB30" s="23">
        <f t="shared" si="20"/>
        <v>49952356.999999993</v>
      </c>
      <c r="AC30" s="23">
        <f t="shared" si="21"/>
        <v>49578247.000000007</v>
      </c>
      <c r="AD30" s="23">
        <f t="shared" si="22"/>
        <v>48623113.5</v>
      </c>
      <c r="AE30" s="23">
        <f t="shared" si="23"/>
        <v>49297137</v>
      </c>
    </row>
    <row r="31" spans="1:32" x14ac:dyDescent="0.2">
      <c r="A31" s="5" t="s">
        <v>98</v>
      </c>
      <c r="B31" s="5" t="s">
        <v>680</v>
      </c>
      <c r="C31" s="93">
        <v>395.79108000000002</v>
      </c>
      <c r="D31" s="93">
        <v>401.29653999999999</v>
      </c>
      <c r="E31" s="93">
        <v>396.24124</v>
      </c>
      <c r="F31" s="93">
        <v>402.3759</v>
      </c>
      <c r="G31" s="93">
        <v>406.8297</v>
      </c>
      <c r="H31" s="93">
        <v>416.05444</v>
      </c>
      <c r="I31" s="93">
        <v>417.24808000000002</v>
      </c>
      <c r="J31" s="93">
        <v>409.19492000000002</v>
      </c>
      <c r="L31" s="93" t="s">
        <v>97</v>
      </c>
      <c r="M31" s="93" t="s">
        <v>65</v>
      </c>
      <c r="O31" s="5" t="s">
        <v>111</v>
      </c>
      <c r="P31" s="5"/>
      <c r="Q31" s="23">
        <f t="shared" si="25"/>
        <v>51.740935999999998</v>
      </c>
      <c r="R31" s="23">
        <f t="shared" si="25"/>
        <v>51.358069999999998</v>
      </c>
      <c r="S31" s="23">
        <f t="shared" si="25"/>
        <v>52.481000000000002</v>
      </c>
      <c r="T31" s="23">
        <f t="shared" si="25"/>
        <v>51.955044000000001</v>
      </c>
      <c r="U31" s="23">
        <f t="shared" si="25"/>
        <v>52.39141</v>
      </c>
      <c r="V31" s="23">
        <f t="shared" si="25"/>
        <v>51.353805999999999</v>
      </c>
      <c r="W31" s="23">
        <f t="shared" si="25"/>
        <v>51.682070000000003</v>
      </c>
      <c r="X31" s="23">
        <f t="shared" si="25"/>
        <v>47.176017999999999</v>
      </c>
      <c r="Y31" s="93"/>
      <c r="AA31" s="23">
        <f t="shared" si="19"/>
        <v>51883762.5</v>
      </c>
      <c r="AB31" s="23">
        <f t="shared" si="20"/>
        <v>52046381</v>
      </c>
      <c r="AC31" s="23">
        <f t="shared" si="21"/>
        <v>52045315</v>
      </c>
      <c r="AD31" s="23">
        <f t="shared" si="22"/>
        <v>51845582.5</v>
      </c>
      <c r="AE31" s="23">
        <f t="shared" si="23"/>
        <v>50650826</v>
      </c>
    </row>
    <row r="32" spans="1:32" x14ac:dyDescent="0.2">
      <c r="A32" s="5" t="s">
        <v>108</v>
      </c>
      <c r="B32" s="5" t="s">
        <v>681</v>
      </c>
      <c r="C32" s="93">
        <v>9.7417719999999992</v>
      </c>
      <c r="D32" s="93">
        <v>12.030023999999999</v>
      </c>
      <c r="E32" s="93">
        <v>10.391095</v>
      </c>
      <c r="F32" s="93">
        <v>14.097250000000001</v>
      </c>
      <c r="G32" s="93">
        <v>8.6836059999999993</v>
      </c>
      <c r="H32" s="93">
        <v>7.1257143000000003</v>
      </c>
      <c r="I32" s="93">
        <v>8.4071569999999998</v>
      </c>
      <c r="J32" s="93">
        <v>8.7268640000000008</v>
      </c>
      <c r="L32" s="93" t="s">
        <v>107</v>
      </c>
      <c r="M32" s="93" t="s">
        <v>41</v>
      </c>
      <c r="O32" s="5" t="s">
        <v>113</v>
      </c>
      <c r="P32" s="5"/>
      <c r="Q32" s="23">
        <f t="shared" si="25"/>
        <v>724.84709999999995</v>
      </c>
      <c r="R32" s="23">
        <f t="shared" si="25"/>
        <v>737.17819999999995</v>
      </c>
      <c r="S32" s="23">
        <f t="shared" si="25"/>
        <v>748.32669999999996</v>
      </c>
      <c r="T32" s="23">
        <f t="shared" si="25"/>
        <v>757.55139999999994</v>
      </c>
      <c r="U32" s="23">
        <f t="shared" si="25"/>
        <v>759.93713000000002</v>
      </c>
      <c r="V32" s="23">
        <f t="shared" si="25"/>
        <v>745.54663000000005</v>
      </c>
      <c r="W32" s="23">
        <f t="shared" si="25"/>
        <v>771.21924000000001</v>
      </c>
      <c r="X32" s="23">
        <f t="shared" si="25"/>
        <v>784.9751</v>
      </c>
      <c r="Y32" s="93"/>
      <c r="AA32" s="23">
        <f t="shared" si="19"/>
        <v>741975849.99999988</v>
      </c>
      <c r="AB32" s="23">
        <f t="shared" si="20"/>
        <v>750748357.49999988</v>
      </c>
      <c r="AC32" s="23">
        <f t="shared" si="21"/>
        <v>752840465</v>
      </c>
      <c r="AD32" s="23">
        <f t="shared" si="22"/>
        <v>758563600.00000012</v>
      </c>
      <c r="AE32" s="23">
        <f t="shared" si="23"/>
        <v>765419525</v>
      </c>
    </row>
    <row r="33" spans="1:35" x14ac:dyDescent="0.2">
      <c r="A33" s="5" t="s">
        <v>110</v>
      </c>
      <c r="B33" s="5" t="s">
        <v>682</v>
      </c>
      <c r="C33" s="93">
        <v>52.424399999999999</v>
      </c>
      <c r="D33" s="93">
        <v>50.295290000000001</v>
      </c>
      <c r="E33" s="93">
        <v>50.532893999999999</v>
      </c>
      <c r="F33" s="93">
        <v>47.318280000000001</v>
      </c>
      <c r="G33" s="93">
        <v>51.662964000000002</v>
      </c>
      <c r="H33" s="93">
        <v>48.798850000000002</v>
      </c>
      <c r="I33" s="93">
        <v>46.712359999999997</v>
      </c>
      <c r="J33" s="93">
        <v>50.014373999999997</v>
      </c>
      <c r="L33" s="93" t="s">
        <v>109</v>
      </c>
      <c r="M33" s="93" t="s">
        <v>70</v>
      </c>
      <c r="O33" s="5" t="s">
        <v>115</v>
      </c>
      <c r="P33" s="5"/>
      <c r="Q33" s="23">
        <f t="shared" si="25"/>
        <v>292.15832999999998</v>
      </c>
      <c r="R33" s="23">
        <f t="shared" si="25"/>
        <v>290.18581999999998</v>
      </c>
      <c r="S33" s="23">
        <f t="shared" si="25"/>
        <v>240.50443000000001</v>
      </c>
      <c r="T33" s="23">
        <f t="shared" si="25"/>
        <v>268.43331999999998</v>
      </c>
      <c r="U33" s="23">
        <f t="shared" si="25"/>
        <v>256.29397999999998</v>
      </c>
      <c r="V33" s="23">
        <f t="shared" si="25"/>
        <v>279.19542999999999</v>
      </c>
      <c r="W33" s="23">
        <f t="shared" si="25"/>
        <v>315.12047999999999</v>
      </c>
      <c r="X33" s="23">
        <f t="shared" si="25"/>
        <v>250.12221</v>
      </c>
      <c r="Y33" s="93"/>
      <c r="AA33" s="23">
        <f t="shared" si="19"/>
        <v>272820475</v>
      </c>
      <c r="AB33" s="23">
        <f t="shared" si="20"/>
        <v>263854387.49999997</v>
      </c>
      <c r="AC33" s="23">
        <f t="shared" si="21"/>
        <v>261106790</v>
      </c>
      <c r="AD33" s="23">
        <f t="shared" si="22"/>
        <v>279760802.5</v>
      </c>
      <c r="AE33" s="23">
        <f t="shared" si="23"/>
        <v>275183025</v>
      </c>
    </row>
    <row r="34" spans="1:35" x14ac:dyDescent="0.2">
      <c r="A34" s="5" t="s">
        <v>683</v>
      </c>
      <c r="B34" s="5" t="s">
        <v>684</v>
      </c>
      <c r="C34" s="93">
        <v>11.746942499999999</v>
      </c>
      <c r="D34" s="93">
        <v>65.964966000000004</v>
      </c>
      <c r="E34" s="93">
        <v>63.515163000000001</v>
      </c>
      <c r="F34" s="93">
        <v>33.320476999999997</v>
      </c>
      <c r="G34" s="93">
        <v>5.8747860000000003</v>
      </c>
      <c r="H34" s="93">
        <v>5.4591149999999997</v>
      </c>
      <c r="I34" s="93">
        <v>5.3205020000000003</v>
      </c>
      <c r="J34" s="93">
        <v>50.153790000000001</v>
      </c>
      <c r="L34" s="93" t="s">
        <v>93</v>
      </c>
      <c r="M34" s="93" t="s">
        <v>65</v>
      </c>
      <c r="O34" s="5" t="s">
        <v>117</v>
      </c>
      <c r="P34" s="5"/>
      <c r="Q34" s="23">
        <f t="shared" si="25"/>
        <v>1080.7494999999999</v>
      </c>
      <c r="R34" s="23">
        <f t="shared" si="25"/>
        <v>1076.5827999999999</v>
      </c>
      <c r="S34" s="23">
        <f t="shared" si="25"/>
        <v>1079.8993</v>
      </c>
      <c r="T34" s="23">
        <f t="shared" si="25"/>
        <v>1082.8231000000001</v>
      </c>
      <c r="U34" s="23">
        <f t="shared" si="25"/>
        <v>1088.8494000000001</v>
      </c>
      <c r="V34" s="23">
        <f t="shared" si="25"/>
        <v>1019.8015</v>
      </c>
      <c r="W34" s="23">
        <f t="shared" si="25"/>
        <v>1121.6226999999999</v>
      </c>
      <c r="X34" s="23">
        <f t="shared" si="25"/>
        <v>1070.0442</v>
      </c>
      <c r="Y34" s="93"/>
      <c r="AA34" s="23">
        <f t="shared" si="19"/>
        <v>1080013675.0000002</v>
      </c>
      <c r="AB34" s="23">
        <f t="shared" si="20"/>
        <v>1082038650</v>
      </c>
      <c r="AC34" s="23">
        <f t="shared" si="21"/>
        <v>1067843325</v>
      </c>
      <c r="AD34" s="23">
        <f t="shared" si="22"/>
        <v>1078274175</v>
      </c>
      <c r="AE34" s="23">
        <f t="shared" si="23"/>
        <v>1075079450</v>
      </c>
    </row>
    <row r="35" spans="1:35" x14ac:dyDescent="0.2">
      <c r="A35" s="5" t="s">
        <v>683</v>
      </c>
      <c r="B35" s="5" t="s">
        <v>685</v>
      </c>
      <c r="C35" s="93"/>
      <c r="D35" s="93"/>
      <c r="E35" s="93"/>
      <c r="F35" s="93">
        <v>31.861923000000001</v>
      </c>
      <c r="G35" s="93">
        <v>59.495776999999997</v>
      </c>
      <c r="H35" s="93">
        <v>51.48603</v>
      </c>
      <c r="I35" s="93">
        <v>56.363349999999997</v>
      </c>
      <c r="J35" s="93">
        <v>8.2296390000000006</v>
      </c>
      <c r="L35" s="93" t="s">
        <v>93</v>
      </c>
      <c r="M35" s="93" t="s">
        <v>65</v>
      </c>
      <c r="O35" s="5" t="s">
        <v>119</v>
      </c>
      <c r="P35" s="5"/>
      <c r="Q35" s="23">
        <f t="shared" si="25"/>
        <v>7.2190000000000004E-2</v>
      </c>
      <c r="R35" s="23">
        <f t="shared" si="25"/>
        <v>0.176952</v>
      </c>
      <c r="S35" s="23">
        <f t="shared" si="25"/>
        <v>6.2651999999999999E-2</v>
      </c>
      <c r="T35" s="23">
        <f t="shared" si="25"/>
        <v>0.125947</v>
      </c>
      <c r="U35" s="23">
        <f t="shared" si="25"/>
        <v>7.1249000000000007E-2</v>
      </c>
      <c r="V35" s="23">
        <f t="shared" si="25"/>
        <v>0.136132</v>
      </c>
      <c r="W35" s="23">
        <f t="shared" si="25"/>
        <v>2.4077999999999999E-2</v>
      </c>
      <c r="X35" s="23">
        <f t="shared" si="25"/>
        <v>0.210762</v>
      </c>
      <c r="Y35" s="93"/>
      <c r="AA35" s="23">
        <f t="shared" si="19"/>
        <v>109435.25000000001</v>
      </c>
      <c r="AB35" s="23">
        <f t="shared" si="20"/>
        <v>109199.99999999999</v>
      </c>
      <c r="AC35" s="23">
        <f t="shared" si="21"/>
        <v>98995</v>
      </c>
      <c r="AD35" s="23">
        <f t="shared" si="22"/>
        <v>89351.5</v>
      </c>
      <c r="AE35" s="23">
        <f t="shared" si="23"/>
        <v>110555.25</v>
      </c>
    </row>
    <row r="36" spans="1:35" x14ac:dyDescent="0.2">
      <c r="A36" s="5" t="s">
        <v>94</v>
      </c>
      <c r="B36" s="5" t="s">
        <v>686</v>
      </c>
      <c r="C36" s="93">
        <v>638.43713000000002</v>
      </c>
      <c r="D36" s="93">
        <v>597.34460000000001</v>
      </c>
      <c r="E36" s="93">
        <v>568.54570000000001</v>
      </c>
      <c r="F36" s="93">
        <v>565.95320000000004</v>
      </c>
      <c r="G36" s="93">
        <v>568.09436000000005</v>
      </c>
      <c r="H36" s="93">
        <v>610.85364000000004</v>
      </c>
      <c r="I36" s="93">
        <v>618.88210000000004</v>
      </c>
      <c r="J36" s="93">
        <v>590.72450000000003</v>
      </c>
      <c r="L36" s="93" t="s">
        <v>93</v>
      </c>
      <c r="M36" s="93" t="s">
        <v>65</v>
      </c>
      <c r="O36" s="5" t="s">
        <v>121</v>
      </c>
      <c r="P36" s="5"/>
      <c r="Q36" s="23">
        <v>0</v>
      </c>
      <c r="R36" s="23">
        <v>0</v>
      </c>
      <c r="S36" s="23">
        <v>0</v>
      </c>
      <c r="T36" s="23">
        <v>0</v>
      </c>
      <c r="U36" s="23">
        <v>0</v>
      </c>
      <c r="V36" s="23">
        <v>0</v>
      </c>
      <c r="W36" s="23">
        <v>0</v>
      </c>
      <c r="X36" s="23">
        <v>0</v>
      </c>
      <c r="Y36" s="93"/>
      <c r="AA36" s="23">
        <f t="shared" si="19"/>
        <v>0</v>
      </c>
      <c r="AB36" s="23">
        <f t="shared" si="20"/>
        <v>0</v>
      </c>
      <c r="AC36" s="23">
        <f t="shared" si="21"/>
        <v>0</v>
      </c>
      <c r="AD36" s="23">
        <f t="shared" si="22"/>
        <v>0</v>
      </c>
      <c r="AE36" s="23">
        <f t="shared" si="23"/>
        <v>0</v>
      </c>
    </row>
    <row r="37" spans="1:35" x14ac:dyDescent="0.2">
      <c r="A37" s="5" t="s">
        <v>104</v>
      </c>
      <c r="B37" s="5" t="s">
        <v>687</v>
      </c>
      <c r="C37" s="93">
        <v>30.845179000000002</v>
      </c>
      <c r="D37" s="93">
        <v>25.617623999999999</v>
      </c>
      <c r="E37" s="93">
        <v>14.59727</v>
      </c>
      <c r="F37" s="93">
        <v>9.5064109999999999</v>
      </c>
      <c r="G37" s="93">
        <v>1.225535</v>
      </c>
      <c r="H37" s="93">
        <v>1.868438</v>
      </c>
      <c r="I37" s="93">
        <v>1.7746869999999999</v>
      </c>
      <c r="J37" s="93">
        <v>20.264309999999998</v>
      </c>
      <c r="L37" s="93" t="s">
        <v>103</v>
      </c>
      <c r="M37" s="93" t="s">
        <v>41</v>
      </c>
      <c r="O37" s="5" t="s">
        <v>123</v>
      </c>
      <c r="P37" s="5"/>
      <c r="Q37" s="23">
        <f t="shared" ref="Q37:X37" si="26">_xlfn.XLOOKUP($O37,$L$8:$L$74,C$8:C$74,FALSE)</f>
        <v>1040.6531</v>
      </c>
      <c r="R37" s="23">
        <f t="shared" si="26"/>
        <v>1079.7272</v>
      </c>
      <c r="S37" s="23">
        <f t="shared" si="26"/>
        <v>1114.2932000000001</v>
      </c>
      <c r="T37" s="23">
        <f t="shared" si="26"/>
        <v>1105.2462</v>
      </c>
      <c r="U37" s="23">
        <f t="shared" si="26"/>
        <v>1121.7049999999999</v>
      </c>
      <c r="V37" s="23">
        <f t="shared" si="26"/>
        <v>1080.9007999999999</v>
      </c>
      <c r="W37" s="23">
        <f t="shared" si="26"/>
        <v>1035.5192999999999</v>
      </c>
      <c r="X37" s="23">
        <f t="shared" si="26"/>
        <v>1027.3466000000001</v>
      </c>
      <c r="Y37" s="93" t="s">
        <v>668</v>
      </c>
      <c r="AA37" s="23">
        <f t="shared" si="19"/>
        <v>1084979925</v>
      </c>
      <c r="AB37" s="23">
        <f t="shared" si="20"/>
        <v>1105242900.0000002</v>
      </c>
      <c r="AC37" s="23">
        <f t="shared" si="21"/>
        <v>1105536300</v>
      </c>
      <c r="AD37" s="23">
        <f t="shared" si="22"/>
        <v>1085842825</v>
      </c>
      <c r="AE37" s="23">
        <f t="shared" si="23"/>
        <v>1066367925</v>
      </c>
    </row>
    <row r="38" spans="1:35" ht="42.75" x14ac:dyDescent="0.2">
      <c r="A38" s="5" t="s">
        <v>104</v>
      </c>
      <c r="B38" s="5" t="s">
        <v>688</v>
      </c>
      <c r="C38" s="93"/>
      <c r="D38" s="93"/>
      <c r="E38" s="93"/>
      <c r="F38" s="93">
        <v>7.4956579999999997</v>
      </c>
      <c r="G38" s="93">
        <v>19.401147999999999</v>
      </c>
      <c r="H38" s="93">
        <v>25.987309</v>
      </c>
      <c r="I38" s="93">
        <v>24.049340999999998</v>
      </c>
      <c r="J38" s="93">
        <v>4.2996169999999996</v>
      </c>
      <c r="L38" s="93" t="s">
        <v>103</v>
      </c>
      <c r="M38" s="93" t="s">
        <v>41</v>
      </c>
      <c r="O38" s="95" t="s">
        <v>125</v>
      </c>
      <c r="P38" s="95"/>
      <c r="Q38" s="23">
        <f t="shared" ref="Q38:X38" si="27">C60+C9</f>
        <v>1.915143</v>
      </c>
      <c r="R38" s="23">
        <f t="shared" si="27"/>
        <v>1.045776974</v>
      </c>
      <c r="S38" s="23">
        <f t="shared" si="27"/>
        <v>31.927019900000001</v>
      </c>
      <c r="T38" s="23">
        <f t="shared" si="27"/>
        <v>33.205171999999997</v>
      </c>
      <c r="U38" s="23">
        <f t="shared" si="27"/>
        <v>34.941231000000002</v>
      </c>
      <c r="V38" s="23">
        <f t="shared" si="27"/>
        <v>35.370563000000004</v>
      </c>
      <c r="W38" s="23">
        <f t="shared" si="27"/>
        <v>37.774166999999998</v>
      </c>
      <c r="X38" s="23">
        <f t="shared" si="27"/>
        <v>36.618371000000003</v>
      </c>
      <c r="Y38" s="93" t="s">
        <v>689</v>
      </c>
      <c r="AA38" s="23">
        <f t="shared" si="19"/>
        <v>17023277.968499999</v>
      </c>
      <c r="AB38" s="23">
        <f t="shared" si="20"/>
        <v>25279799.968499999</v>
      </c>
      <c r="AC38" s="23">
        <f t="shared" si="21"/>
        <v>33860996.475000001</v>
      </c>
      <c r="AD38" s="23">
        <f t="shared" si="22"/>
        <v>35322783.25</v>
      </c>
      <c r="AE38" s="23">
        <f t="shared" si="23"/>
        <v>36176083</v>
      </c>
    </row>
    <row r="39" spans="1:35" x14ac:dyDescent="0.2">
      <c r="A39" s="5" t="s">
        <v>690</v>
      </c>
      <c r="B39" s="5" t="s">
        <v>691</v>
      </c>
      <c r="C39" s="93">
        <v>7.2190000000000004E-2</v>
      </c>
      <c r="D39" s="93">
        <v>0.176952</v>
      </c>
      <c r="E39" s="93">
        <v>6.2651999999999999E-2</v>
      </c>
      <c r="F39" s="93">
        <v>0.125947</v>
      </c>
      <c r="G39" s="93">
        <v>7.1249000000000007E-2</v>
      </c>
      <c r="H39" s="93">
        <v>0.136132</v>
      </c>
      <c r="I39" s="93">
        <v>2.4077999999999999E-2</v>
      </c>
      <c r="J39" s="93">
        <v>0.210762</v>
      </c>
      <c r="L39" s="93" t="s">
        <v>119</v>
      </c>
      <c r="M39" s="93" t="s">
        <v>41</v>
      </c>
      <c r="O39" s="5" t="s">
        <v>127</v>
      </c>
      <c r="P39" s="5"/>
      <c r="Q39" s="23">
        <f t="shared" ref="Q39:X39" si="28">_xlfn.XLOOKUP($O39,$L$8:$L$74,C$8:C$74,FALSE)</f>
        <v>4995.7187999999996</v>
      </c>
      <c r="R39" s="23">
        <f t="shared" si="28"/>
        <v>5045.7124000000003</v>
      </c>
      <c r="S39" s="23">
        <f t="shared" si="28"/>
        <v>5016.6367</v>
      </c>
      <c r="T39" s="23">
        <f t="shared" si="28"/>
        <v>4995.4755999999998</v>
      </c>
      <c r="U39" s="23">
        <f t="shared" si="28"/>
        <v>5200.3603999999996</v>
      </c>
      <c r="V39" s="23">
        <f t="shared" si="28"/>
        <v>5134.5225</v>
      </c>
      <c r="W39" s="23">
        <f t="shared" si="28"/>
        <v>4925.6426000000001</v>
      </c>
      <c r="X39" s="23">
        <f t="shared" si="28"/>
        <v>4990.6016</v>
      </c>
      <c r="AA39" s="23">
        <f t="shared" si="19"/>
        <v>5013385875</v>
      </c>
      <c r="AB39" s="23">
        <f t="shared" si="20"/>
        <v>5064546275</v>
      </c>
      <c r="AC39" s="23">
        <f t="shared" si="21"/>
        <v>5086748800</v>
      </c>
      <c r="AD39" s="23">
        <f t="shared" si="22"/>
        <v>5064000274.999999</v>
      </c>
      <c r="AE39" s="23">
        <f t="shared" si="23"/>
        <v>5062781774.999999</v>
      </c>
    </row>
    <row r="40" spans="1:35" x14ac:dyDescent="0.2">
      <c r="A40" s="5" t="s">
        <v>112</v>
      </c>
      <c r="B40" s="5" t="s">
        <v>692</v>
      </c>
      <c r="C40" s="93">
        <v>51.740935999999998</v>
      </c>
      <c r="D40" s="93">
        <v>51.358069999999998</v>
      </c>
      <c r="E40" s="93">
        <v>52.481000000000002</v>
      </c>
      <c r="F40" s="93">
        <v>51.955044000000001</v>
      </c>
      <c r="G40" s="93">
        <v>52.39141</v>
      </c>
      <c r="H40" s="93">
        <v>51.353805999999999</v>
      </c>
      <c r="I40" s="93">
        <v>51.682070000000003</v>
      </c>
      <c r="J40" s="93">
        <v>47.176017999999999</v>
      </c>
      <c r="L40" s="93" t="s">
        <v>111</v>
      </c>
      <c r="M40" s="93" t="s">
        <v>65</v>
      </c>
      <c r="O40" s="5" t="s">
        <v>129</v>
      </c>
      <c r="P40" s="5"/>
      <c r="Q40" s="23">
        <f t="shared" ref="Q40:X40" si="29">SUM(C46:C47)</f>
        <v>0</v>
      </c>
      <c r="R40" s="23">
        <f t="shared" si="29"/>
        <v>0</v>
      </c>
      <c r="S40" s="23">
        <f t="shared" si="29"/>
        <v>0</v>
      </c>
      <c r="T40" s="23">
        <f t="shared" si="29"/>
        <v>0</v>
      </c>
      <c r="U40" s="23">
        <f t="shared" si="29"/>
        <v>0</v>
      </c>
      <c r="V40" s="23">
        <f t="shared" si="29"/>
        <v>4.9802390000000001</v>
      </c>
      <c r="W40" s="23">
        <f t="shared" si="29"/>
        <v>47.667079999999999</v>
      </c>
      <c r="X40" s="23">
        <f t="shared" si="29"/>
        <v>44.939540000000001</v>
      </c>
      <c r="Y40" s="93"/>
      <c r="AA40" s="23">
        <f t="shared" si="19"/>
        <v>0</v>
      </c>
      <c r="AB40" s="23">
        <f t="shared" si="20"/>
        <v>0</v>
      </c>
      <c r="AC40" s="23">
        <f t="shared" si="21"/>
        <v>1245059.75</v>
      </c>
      <c r="AD40" s="23">
        <f t="shared" si="22"/>
        <v>13161829.749999998</v>
      </c>
      <c r="AE40" s="124"/>
      <c r="AF40" t="s">
        <v>693</v>
      </c>
    </row>
    <row r="41" spans="1:35" x14ac:dyDescent="0.2">
      <c r="A41" s="5" t="s">
        <v>124</v>
      </c>
      <c r="B41" s="5" t="s">
        <v>694</v>
      </c>
      <c r="C41" s="93">
        <v>1040.6531</v>
      </c>
      <c r="D41" s="93">
        <v>1079.7272</v>
      </c>
      <c r="E41" s="93">
        <v>1114.2932000000001</v>
      </c>
      <c r="F41" s="93">
        <v>1105.2462</v>
      </c>
      <c r="G41" s="93">
        <v>1121.7049999999999</v>
      </c>
      <c r="H41" s="93">
        <v>1080.9007999999999</v>
      </c>
      <c r="I41" s="93">
        <v>1035.5192999999999</v>
      </c>
      <c r="J41" s="93">
        <v>1027.3466000000001</v>
      </c>
      <c r="L41" s="93" t="s">
        <v>123</v>
      </c>
      <c r="M41" s="93" t="s">
        <v>65</v>
      </c>
      <c r="O41" s="5" t="s">
        <v>131</v>
      </c>
      <c r="P41" s="5"/>
      <c r="Q41" s="23">
        <f t="shared" ref="Q41:X43" si="30">_xlfn.XLOOKUP($O41,$L$8:$L$74,C$8:C$74,FALSE)</f>
        <v>3292.654</v>
      </c>
      <c r="R41" s="23">
        <f t="shared" si="30"/>
        <v>3270.4739</v>
      </c>
      <c r="S41" s="23">
        <f t="shared" si="30"/>
        <v>3286.0916000000002</v>
      </c>
      <c r="T41" s="23">
        <f t="shared" si="30"/>
        <v>3315.0864000000001</v>
      </c>
      <c r="U41" s="23">
        <f t="shared" si="30"/>
        <v>3317.806</v>
      </c>
      <c r="V41" s="23">
        <f t="shared" si="30"/>
        <v>3385.8330000000001</v>
      </c>
      <c r="W41" s="23">
        <f t="shared" si="30"/>
        <v>3428.4602</v>
      </c>
      <c r="X41" s="23">
        <f t="shared" si="30"/>
        <v>3417.4364999999998</v>
      </c>
      <c r="Y41" s="93"/>
      <c r="AA41" s="23">
        <f t="shared" si="19"/>
        <v>3291076475</v>
      </c>
      <c r="AB41" s="23">
        <f t="shared" si="20"/>
        <v>3297364475.0000005</v>
      </c>
      <c r="AC41" s="23">
        <f t="shared" si="21"/>
        <v>3326204250</v>
      </c>
      <c r="AD41" s="23">
        <f t="shared" si="22"/>
        <v>3361796400</v>
      </c>
      <c r="AE41" s="23">
        <f t="shared" si="23"/>
        <v>3387383925</v>
      </c>
    </row>
    <row r="42" spans="1:35" x14ac:dyDescent="0.2">
      <c r="A42" s="5" t="s">
        <v>128</v>
      </c>
      <c r="B42" s="5" t="s">
        <v>695</v>
      </c>
      <c r="C42" s="93">
        <v>4995.7187999999996</v>
      </c>
      <c r="D42" s="93">
        <v>5045.7124000000003</v>
      </c>
      <c r="E42" s="93">
        <v>5016.6367</v>
      </c>
      <c r="F42" s="93">
        <v>4995.4755999999998</v>
      </c>
      <c r="G42" s="93">
        <v>5200.3603999999996</v>
      </c>
      <c r="H42" s="93">
        <v>5134.5225</v>
      </c>
      <c r="I42" s="93">
        <v>4925.6426000000001</v>
      </c>
      <c r="J42" s="93">
        <v>4990.6016</v>
      </c>
      <c r="L42" s="93" t="s">
        <v>127</v>
      </c>
      <c r="M42" s="93" t="s">
        <v>70</v>
      </c>
      <c r="O42" s="5" t="s">
        <v>133</v>
      </c>
      <c r="P42" s="5"/>
      <c r="Q42" s="23">
        <f t="shared" si="30"/>
        <v>511.36673000000002</v>
      </c>
      <c r="R42" s="23">
        <f t="shared" si="30"/>
        <v>523.09454000000005</v>
      </c>
      <c r="S42" s="23">
        <f t="shared" si="30"/>
        <v>504.91135000000003</v>
      </c>
      <c r="T42" s="23">
        <f t="shared" si="30"/>
        <v>258.64179999999999</v>
      </c>
      <c r="U42" s="23">
        <f t="shared" si="30"/>
        <v>38.915176000000002</v>
      </c>
      <c r="V42" s="23">
        <f t="shared" si="30"/>
        <v>34.274273000000001</v>
      </c>
      <c r="W42" s="23">
        <f t="shared" si="30"/>
        <v>36.212485999999998</v>
      </c>
      <c r="X42" s="23">
        <f t="shared" si="30"/>
        <v>327.94709999999998</v>
      </c>
      <c r="Y42" s="93"/>
      <c r="AA42" s="23">
        <f t="shared" si="19"/>
        <v>449503605</v>
      </c>
      <c r="AB42" s="23">
        <f t="shared" si="20"/>
        <v>331390716.50000006</v>
      </c>
      <c r="AC42" s="23">
        <f t="shared" si="21"/>
        <v>209185649.74999997</v>
      </c>
      <c r="AD42" s="23">
        <f t="shared" si="22"/>
        <v>92010933.749999985</v>
      </c>
      <c r="AE42" s="23">
        <f t="shared" si="23"/>
        <v>109337258.74999999</v>
      </c>
    </row>
    <row r="43" spans="1:35" x14ac:dyDescent="0.2">
      <c r="A43" s="5" t="s">
        <v>696</v>
      </c>
      <c r="B43" s="5" t="s">
        <v>697</v>
      </c>
      <c r="C43" s="93">
        <v>45.578029999999998</v>
      </c>
      <c r="D43" s="93">
        <v>60.349600000000002</v>
      </c>
      <c r="E43" s="93">
        <v>56.415184000000004</v>
      </c>
      <c r="F43" s="93">
        <v>27.102164999999999</v>
      </c>
      <c r="G43" s="93">
        <v>3.9664329999999999</v>
      </c>
      <c r="H43" s="93">
        <v>4.2096869999999997</v>
      </c>
      <c r="I43" s="93">
        <v>3.6948479999999999</v>
      </c>
      <c r="J43" s="93">
        <v>26.849827000000001</v>
      </c>
      <c r="L43" s="93" t="s">
        <v>91</v>
      </c>
      <c r="M43" s="93" t="s">
        <v>70</v>
      </c>
      <c r="O43" s="5" t="s">
        <v>135</v>
      </c>
      <c r="P43" s="5"/>
      <c r="Q43" s="23">
        <f t="shared" si="30"/>
        <v>5029.8329999999996</v>
      </c>
      <c r="R43" s="23">
        <f t="shared" si="30"/>
        <v>5059.8119999999999</v>
      </c>
      <c r="S43" s="23">
        <f t="shared" si="30"/>
        <v>5095.3190000000004</v>
      </c>
      <c r="T43" s="23">
        <f t="shared" si="30"/>
        <v>5123.4252999999999</v>
      </c>
      <c r="U43" s="23">
        <f t="shared" si="30"/>
        <v>5138.6553000000004</v>
      </c>
      <c r="V43" s="23">
        <f t="shared" si="30"/>
        <v>5163.82</v>
      </c>
      <c r="W43" s="23">
        <f t="shared" si="30"/>
        <v>5216.9620000000004</v>
      </c>
      <c r="X43" s="23">
        <f t="shared" si="30"/>
        <v>5251.6629999999996</v>
      </c>
      <c r="Y43" s="93"/>
      <c r="AA43" s="23">
        <f t="shared" si="19"/>
        <v>5077097325</v>
      </c>
      <c r="AB43" s="23">
        <f t="shared" si="20"/>
        <v>5104302900.000001</v>
      </c>
      <c r="AC43" s="23">
        <f t="shared" si="21"/>
        <v>5130304900</v>
      </c>
      <c r="AD43" s="23">
        <f t="shared" si="22"/>
        <v>5160715650</v>
      </c>
      <c r="AE43" s="23">
        <f t="shared" si="23"/>
        <v>5192775075</v>
      </c>
    </row>
    <row r="44" spans="1:35" x14ac:dyDescent="0.2">
      <c r="A44" s="5" t="s">
        <v>696</v>
      </c>
      <c r="B44" s="5" t="s">
        <v>698</v>
      </c>
      <c r="C44" s="93"/>
      <c r="D44" s="93"/>
      <c r="E44" s="93"/>
      <c r="F44" s="93">
        <v>23.555309999999999</v>
      </c>
      <c r="G44" s="93">
        <v>47.631070000000001</v>
      </c>
      <c r="H44" s="93">
        <v>40.906962999999998</v>
      </c>
      <c r="I44" s="93">
        <v>40.867213999999997</v>
      </c>
      <c r="J44" s="93">
        <v>5.8733582000000002</v>
      </c>
      <c r="L44" s="93" t="s">
        <v>91</v>
      </c>
      <c r="M44" s="93" t="s">
        <v>70</v>
      </c>
      <c r="O44" s="5" t="s">
        <v>137</v>
      </c>
      <c r="P44" s="5"/>
      <c r="Q44" s="23">
        <f t="shared" ref="Q44:X44" si="31">C30+C49+C21+C62</f>
        <v>1477.2814920000001</v>
      </c>
      <c r="R44" s="23">
        <f t="shared" si="31"/>
        <v>1482.1580569999999</v>
      </c>
      <c r="S44" s="23">
        <f t="shared" si="31"/>
        <v>1481.156477</v>
      </c>
      <c r="T44" s="23">
        <f t="shared" si="31"/>
        <v>1490.85852</v>
      </c>
      <c r="U44" s="23">
        <f t="shared" si="31"/>
        <v>1494.53763</v>
      </c>
      <c r="V44" s="23">
        <f t="shared" si="31"/>
        <v>1523.1799620000002</v>
      </c>
      <c r="W44" s="23">
        <f t="shared" si="31"/>
        <v>1565.4901399999999</v>
      </c>
      <c r="X44" s="23">
        <f t="shared" si="31"/>
        <v>1573.2904599999999</v>
      </c>
      <c r="Y44" s="93"/>
      <c r="AA44" s="23">
        <f t="shared" si="19"/>
        <v>1482863636.4999998</v>
      </c>
      <c r="AB44" s="23">
        <f t="shared" si="20"/>
        <v>1487177671</v>
      </c>
      <c r="AC44" s="23">
        <f t="shared" si="21"/>
        <v>1497433147.25</v>
      </c>
      <c r="AD44" s="23">
        <f t="shared" si="22"/>
        <v>1518516563.0000002</v>
      </c>
      <c r="AE44" s="23">
        <f t="shared" si="23"/>
        <v>1539124548</v>
      </c>
    </row>
    <row r="45" spans="1:35" x14ac:dyDescent="0.2">
      <c r="A45" s="5" t="s">
        <v>118</v>
      </c>
      <c r="B45" s="5" t="s">
        <v>699</v>
      </c>
      <c r="C45" s="93">
        <v>1080.7494999999999</v>
      </c>
      <c r="D45" s="93">
        <v>1076.5827999999999</v>
      </c>
      <c r="E45" s="93">
        <v>1079.8993</v>
      </c>
      <c r="F45" s="93">
        <v>1082.8231000000001</v>
      </c>
      <c r="G45" s="93">
        <v>1088.8494000000001</v>
      </c>
      <c r="H45" s="93">
        <v>1019.8015</v>
      </c>
      <c r="I45" s="93">
        <v>1121.6226999999999</v>
      </c>
      <c r="J45" s="93">
        <v>1070.0442</v>
      </c>
      <c r="L45" s="93" t="s">
        <v>117</v>
      </c>
      <c r="M45" s="93" t="s">
        <v>70</v>
      </c>
      <c r="O45" s="5" t="s">
        <v>139</v>
      </c>
      <c r="P45" s="5"/>
      <c r="Q45" s="23">
        <f t="shared" ref="Q45:X46" si="32">_xlfn.XLOOKUP($O45,$L$8:$L$74,C$8:C$74,FALSE)</f>
        <v>83.088449999999995</v>
      </c>
      <c r="R45" s="23">
        <f t="shared" si="32"/>
        <v>82.119910000000004</v>
      </c>
      <c r="S45" s="23">
        <f t="shared" si="32"/>
        <v>82.710846000000004</v>
      </c>
      <c r="T45" s="23">
        <f t="shared" si="32"/>
        <v>82.469390000000004</v>
      </c>
      <c r="U45" s="23">
        <f t="shared" si="32"/>
        <v>82.986490000000003</v>
      </c>
      <c r="V45" s="23">
        <f t="shared" si="32"/>
        <v>81.449449999999999</v>
      </c>
      <c r="W45" s="23">
        <f t="shared" si="32"/>
        <v>83.613204999999994</v>
      </c>
      <c r="X45" s="23">
        <f t="shared" si="32"/>
        <v>83.987724</v>
      </c>
      <c r="Y45" s="93"/>
      <c r="AA45" s="23">
        <f t="shared" si="19"/>
        <v>82597149</v>
      </c>
      <c r="AB45" s="23">
        <f t="shared" si="20"/>
        <v>82571659.000000015</v>
      </c>
      <c r="AC45" s="23">
        <f t="shared" si="21"/>
        <v>82404044</v>
      </c>
      <c r="AD45" s="23">
        <f t="shared" si="22"/>
        <v>82629633.75</v>
      </c>
      <c r="AE45" s="23">
        <f t="shared" si="23"/>
        <v>83009217.25</v>
      </c>
    </row>
    <row r="46" spans="1:35" x14ac:dyDescent="0.2">
      <c r="A46" s="5" t="s">
        <v>130</v>
      </c>
      <c r="B46" s="5" t="s">
        <v>700</v>
      </c>
      <c r="C46" s="93"/>
      <c r="D46" s="93"/>
      <c r="E46" s="93"/>
      <c r="F46" s="93"/>
      <c r="G46" s="93"/>
      <c r="H46" s="93"/>
      <c r="I46" s="93"/>
      <c r="J46" s="93"/>
      <c r="L46" s="93" t="s">
        <v>701</v>
      </c>
      <c r="M46" s="93" t="s">
        <v>70</v>
      </c>
      <c r="O46" s="5" t="s">
        <v>141</v>
      </c>
      <c r="P46" s="5"/>
      <c r="Q46" s="23">
        <f t="shared" si="32"/>
        <v>0.40825497999999999</v>
      </c>
      <c r="R46" s="23">
        <f t="shared" si="32"/>
        <v>0.478296</v>
      </c>
      <c r="S46" s="23">
        <f t="shared" si="32"/>
        <v>0.44658999999999999</v>
      </c>
      <c r="T46" s="23">
        <f t="shared" si="32"/>
        <v>0.44164999999999999</v>
      </c>
      <c r="U46" s="23">
        <f t="shared" si="32"/>
        <v>0.47960999999999998</v>
      </c>
      <c r="V46" s="23">
        <f t="shared" si="32"/>
        <v>0.53036099999999997</v>
      </c>
      <c r="W46" s="23">
        <f t="shared" si="32"/>
        <v>0.41106302</v>
      </c>
      <c r="X46" s="23">
        <f t="shared" si="32"/>
        <v>0.426423</v>
      </c>
      <c r="Y46" s="93"/>
      <c r="AA46" s="23">
        <f t="shared" si="19"/>
        <v>443697.74500000005</v>
      </c>
      <c r="AB46" s="23">
        <f t="shared" si="20"/>
        <v>461536.5</v>
      </c>
      <c r="AC46" s="23">
        <f t="shared" si="21"/>
        <v>474552.74999999994</v>
      </c>
      <c r="AD46" s="23">
        <f t="shared" si="22"/>
        <v>465671.00499999995</v>
      </c>
      <c r="AE46" s="23">
        <f t="shared" si="23"/>
        <v>461864.255</v>
      </c>
      <c r="AH46" s="52"/>
    </row>
    <row r="47" spans="1:35" x14ac:dyDescent="0.2">
      <c r="A47" s="5" t="s">
        <v>130</v>
      </c>
      <c r="B47" s="5" t="s">
        <v>702</v>
      </c>
      <c r="C47" s="93"/>
      <c r="D47" s="93"/>
      <c r="E47" s="93"/>
      <c r="F47" s="93"/>
      <c r="G47" s="93"/>
      <c r="H47" s="93">
        <v>4.9802390000000001</v>
      </c>
      <c r="I47" s="93">
        <v>47.667079999999999</v>
      </c>
      <c r="J47" s="93">
        <v>44.939540000000001</v>
      </c>
      <c r="L47" s="93" t="s">
        <v>701</v>
      </c>
      <c r="M47" s="93" t="s">
        <v>70</v>
      </c>
      <c r="O47" s="5" t="s">
        <v>143</v>
      </c>
      <c r="P47" s="5"/>
      <c r="Q47" s="23">
        <v>0</v>
      </c>
      <c r="R47" s="23">
        <v>0</v>
      </c>
      <c r="S47" s="23">
        <v>0</v>
      </c>
      <c r="T47" s="23">
        <v>0</v>
      </c>
      <c r="U47" s="23">
        <v>0</v>
      </c>
      <c r="V47" s="23">
        <v>0</v>
      </c>
      <c r="W47" s="23">
        <v>0</v>
      </c>
      <c r="X47" s="23">
        <v>0</v>
      </c>
      <c r="Y47" s="93"/>
      <c r="AA47" s="23">
        <f t="shared" si="19"/>
        <v>0</v>
      </c>
      <c r="AB47" s="23">
        <f t="shared" si="20"/>
        <v>0</v>
      </c>
      <c r="AC47" s="23">
        <f t="shared" si="21"/>
        <v>0</v>
      </c>
      <c r="AD47" s="23">
        <f t="shared" si="22"/>
        <v>0</v>
      </c>
      <c r="AE47" s="23">
        <f t="shared" si="23"/>
        <v>0</v>
      </c>
      <c r="AI47" s="52"/>
    </row>
    <row r="48" spans="1:35" x14ac:dyDescent="0.2">
      <c r="A48" s="5" t="s">
        <v>132</v>
      </c>
      <c r="B48" s="5" t="s">
        <v>703</v>
      </c>
      <c r="C48" s="93">
        <v>3292.654</v>
      </c>
      <c r="D48" s="93">
        <v>3270.4739</v>
      </c>
      <c r="E48" s="93">
        <v>3286.0916000000002</v>
      </c>
      <c r="F48" s="93">
        <v>3315.0864000000001</v>
      </c>
      <c r="G48" s="93">
        <v>3317.806</v>
      </c>
      <c r="H48" s="93">
        <v>3385.8330000000001</v>
      </c>
      <c r="I48" s="93">
        <v>3428.4602</v>
      </c>
      <c r="J48" s="93">
        <v>3417.4364999999998</v>
      </c>
      <c r="L48" s="93" t="s">
        <v>131</v>
      </c>
      <c r="M48" s="93" t="s">
        <v>65</v>
      </c>
      <c r="O48" s="5" t="s">
        <v>145</v>
      </c>
      <c r="P48" s="5"/>
      <c r="Q48" s="23">
        <f t="shared" ref="Q48:X50" si="33">_xlfn.XLOOKUP($O48,$L$8:$L$74,C$8:C$74,FALSE)</f>
        <v>307.09244000000001</v>
      </c>
      <c r="R48" s="23">
        <f t="shared" si="33"/>
        <v>324.97903000000002</v>
      </c>
      <c r="S48" s="23">
        <f t="shared" si="33"/>
        <v>334.17180000000002</v>
      </c>
      <c r="T48" s="23">
        <f t="shared" si="33"/>
        <v>328.42169999999999</v>
      </c>
      <c r="U48" s="23">
        <f t="shared" si="33"/>
        <v>325.5804</v>
      </c>
      <c r="V48" s="23">
        <f t="shared" si="33"/>
        <v>307.77663999999999</v>
      </c>
      <c r="W48" s="23">
        <f t="shared" si="33"/>
        <v>319.21042</v>
      </c>
      <c r="X48" s="23">
        <f t="shared" si="33"/>
        <v>314.06040000000002</v>
      </c>
      <c r="Y48" s="93"/>
      <c r="AA48" s="23">
        <f t="shared" si="19"/>
        <v>323666242.50000006</v>
      </c>
      <c r="AB48" s="23">
        <f t="shared" si="20"/>
        <v>328288232.5</v>
      </c>
      <c r="AC48" s="23">
        <f t="shared" si="21"/>
        <v>323987635</v>
      </c>
      <c r="AD48" s="23">
        <f t="shared" si="22"/>
        <v>320247290</v>
      </c>
      <c r="AE48" s="23">
        <f t="shared" si="23"/>
        <v>316656965</v>
      </c>
    </row>
    <row r="49" spans="1:35" x14ac:dyDescent="0.2">
      <c r="A49" s="5" t="s">
        <v>704</v>
      </c>
      <c r="B49" s="5" t="s">
        <v>705</v>
      </c>
      <c r="C49" s="93">
        <v>429.81049999999999</v>
      </c>
      <c r="D49" s="93">
        <v>436.60131999999999</v>
      </c>
      <c r="E49" s="93">
        <v>422.20729999999998</v>
      </c>
      <c r="F49" s="93">
        <v>425.07882999999998</v>
      </c>
      <c r="G49" s="93">
        <v>429.40260000000001</v>
      </c>
      <c r="H49" s="93">
        <v>431.94990000000001</v>
      </c>
      <c r="I49" s="93">
        <v>425.81139999999999</v>
      </c>
      <c r="J49" s="93">
        <v>438.45294000000001</v>
      </c>
      <c r="L49" s="93" t="s">
        <v>137</v>
      </c>
      <c r="M49" s="93" t="s">
        <v>65</v>
      </c>
      <c r="O49" s="5" t="s">
        <v>147</v>
      </c>
      <c r="P49" s="5"/>
      <c r="Q49" s="23">
        <f t="shared" si="33"/>
        <v>359.10638</v>
      </c>
      <c r="R49" s="23">
        <f t="shared" si="33"/>
        <v>355.41660000000002</v>
      </c>
      <c r="S49" s="23">
        <f t="shared" si="33"/>
        <v>355.85399999999998</v>
      </c>
      <c r="T49" s="23">
        <f t="shared" si="33"/>
        <v>362.39163000000002</v>
      </c>
      <c r="U49" s="23">
        <f t="shared" si="33"/>
        <v>361.75900000000001</v>
      </c>
      <c r="V49" s="23">
        <f t="shared" si="33"/>
        <v>352.61196999999999</v>
      </c>
      <c r="W49" s="23">
        <f t="shared" si="33"/>
        <v>365.77010000000001</v>
      </c>
      <c r="X49" s="23">
        <f t="shared" si="33"/>
        <v>367.67394999999999</v>
      </c>
      <c r="Y49" s="93"/>
      <c r="AA49" s="23">
        <f t="shared" si="19"/>
        <v>358192152.5</v>
      </c>
      <c r="AB49" s="23">
        <f t="shared" si="20"/>
        <v>358855307.50000006</v>
      </c>
      <c r="AC49" s="23">
        <f t="shared" si="21"/>
        <v>358154149.99999994</v>
      </c>
      <c r="AD49" s="23">
        <f t="shared" si="22"/>
        <v>360633175</v>
      </c>
      <c r="AE49" s="23">
        <f t="shared" si="23"/>
        <v>361953755</v>
      </c>
    </row>
    <row r="50" spans="1:35" x14ac:dyDescent="0.2">
      <c r="A50" s="5" t="s">
        <v>134</v>
      </c>
      <c r="B50" s="5" t="s">
        <v>706</v>
      </c>
      <c r="C50" s="93">
        <v>511.36673000000002</v>
      </c>
      <c r="D50" s="93">
        <v>523.09454000000005</v>
      </c>
      <c r="E50" s="93">
        <v>504.91135000000003</v>
      </c>
      <c r="F50" s="93">
        <v>258.64179999999999</v>
      </c>
      <c r="G50" s="93">
        <v>38.915176000000002</v>
      </c>
      <c r="H50" s="93">
        <v>34.274273000000001</v>
      </c>
      <c r="I50" s="93">
        <v>36.212485999999998</v>
      </c>
      <c r="J50" s="93">
        <v>327.94709999999998</v>
      </c>
      <c r="L50" s="93" t="s">
        <v>133</v>
      </c>
      <c r="M50" s="93" t="s">
        <v>70</v>
      </c>
      <c r="O50" s="5" t="s">
        <v>149</v>
      </c>
      <c r="P50" s="5"/>
      <c r="Q50" s="23">
        <f t="shared" si="33"/>
        <v>1640.7081000000001</v>
      </c>
      <c r="R50" s="23">
        <f t="shared" si="33"/>
        <v>1658.8738000000001</v>
      </c>
      <c r="S50" s="23">
        <f t="shared" si="33"/>
        <v>1673.2782999999999</v>
      </c>
      <c r="T50" s="23">
        <f t="shared" si="33"/>
        <v>1701.3679999999999</v>
      </c>
      <c r="U50" s="23">
        <f t="shared" si="33"/>
        <v>1698.6722</v>
      </c>
      <c r="V50" s="23">
        <f t="shared" si="33"/>
        <v>1694.4386</v>
      </c>
      <c r="W50" s="23">
        <f t="shared" si="33"/>
        <v>1737.1968999999999</v>
      </c>
      <c r="X50" s="23">
        <f t="shared" si="33"/>
        <v>1753.5172</v>
      </c>
      <c r="Y50" s="93"/>
      <c r="AA50" s="23">
        <f t="shared" si="19"/>
        <v>1668557050</v>
      </c>
      <c r="AB50" s="23">
        <f t="shared" si="20"/>
        <v>1683048075</v>
      </c>
      <c r="AC50" s="23">
        <f t="shared" si="21"/>
        <v>1691939274.9999998</v>
      </c>
      <c r="AD50" s="23">
        <f t="shared" si="22"/>
        <v>1707918925</v>
      </c>
      <c r="AE50" s="23">
        <f t="shared" si="23"/>
        <v>1720956225</v>
      </c>
    </row>
    <row r="51" spans="1:35" x14ac:dyDescent="0.2">
      <c r="A51" s="5" t="s">
        <v>134</v>
      </c>
      <c r="B51" s="5" t="s">
        <v>707</v>
      </c>
      <c r="C51" s="93"/>
      <c r="D51" s="93"/>
      <c r="E51" s="93"/>
      <c r="F51" s="93">
        <v>246.15342999999999</v>
      </c>
      <c r="G51" s="93">
        <v>418.60399999999998</v>
      </c>
      <c r="H51" s="93">
        <v>343.74673000000001</v>
      </c>
      <c r="I51" s="93">
        <v>355.11336999999997</v>
      </c>
      <c r="J51" s="93">
        <v>42.274554999999999</v>
      </c>
      <c r="L51" s="93" t="s">
        <v>133</v>
      </c>
      <c r="M51" s="93" t="s">
        <v>70</v>
      </c>
      <c r="O51" s="5" t="s">
        <v>151</v>
      </c>
      <c r="P51" s="5"/>
      <c r="Q51" s="23">
        <f t="shared" ref="Q51:X51" si="34">SUM(C67:C68)</f>
        <v>8753.8822999999993</v>
      </c>
      <c r="R51" s="23">
        <f t="shared" si="34"/>
        <v>8686.2871999999988</v>
      </c>
      <c r="S51" s="23">
        <f t="shared" si="34"/>
        <v>8666.6123000000007</v>
      </c>
      <c r="T51" s="23">
        <f t="shared" si="34"/>
        <v>8771.3513000000003</v>
      </c>
      <c r="U51" s="23">
        <f t="shared" si="34"/>
        <v>8723.0260999999991</v>
      </c>
      <c r="V51" s="23">
        <f t="shared" si="34"/>
        <v>8624.5427</v>
      </c>
      <c r="W51" s="23">
        <f t="shared" si="34"/>
        <v>8658.7456999999995</v>
      </c>
      <c r="X51" s="23">
        <f t="shared" si="34"/>
        <v>8709.9951000000001</v>
      </c>
      <c r="Y51" s="93"/>
      <c r="AA51" s="23">
        <f t="shared" si="19"/>
        <v>8719533275</v>
      </c>
      <c r="AB51" s="23">
        <f t="shared" si="20"/>
        <v>8711819225</v>
      </c>
      <c r="AC51" s="23">
        <f t="shared" si="21"/>
        <v>8696383100</v>
      </c>
      <c r="AD51" s="23">
        <f t="shared" si="22"/>
        <v>8694416449.9999981</v>
      </c>
      <c r="AE51" s="23">
        <f t="shared" si="23"/>
        <v>8679077400</v>
      </c>
    </row>
    <row r="52" spans="1:35" x14ac:dyDescent="0.2">
      <c r="A52" s="5" t="s">
        <v>136</v>
      </c>
      <c r="B52" s="5" t="s">
        <v>708</v>
      </c>
      <c r="C52" s="93">
        <v>5029.8329999999996</v>
      </c>
      <c r="D52" s="93">
        <v>5059.8119999999999</v>
      </c>
      <c r="E52" s="93">
        <v>5095.3190000000004</v>
      </c>
      <c r="F52" s="93">
        <v>5123.4252999999999</v>
      </c>
      <c r="G52" s="93">
        <v>5138.6553000000004</v>
      </c>
      <c r="H52" s="93">
        <v>5163.82</v>
      </c>
      <c r="I52" s="93">
        <v>5216.9620000000004</v>
      </c>
      <c r="J52" s="93">
        <v>5251.6629999999996</v>
      </c>
      <c r="L52" s="93" t="s">
        <v>135</v>
      </c>
      <c r="M52" s="93" t="s">
        <v>65</v>
      </c>
      <c r="O52" s="5" t="s">
        <v>153</v>
      </c>
      <c r="P52" s="5"/>
      <c r="Q52" s="23">
        <f t="shared" ref="Q52:X55" si="35">_xlfn.XLOOKUP($O52,$L$8:$L$74,C$8:C$74,FALSE)</f>
        <v>387.21749999999997</v>
      </c>
      <c r="R52" s="23">
        <f t="shared" si="35"/>
        <v>395.18185</v>
      </c>
      <c r="S52" s="23">
        <f t="shared" si="35"/>
        <v>398.93810000000002</v>
      </c>
      <c r="T52" s="23">
        <f t="shared" si="35"/>
        <v>408.62441999999999</v>
      </c>
      <c r="U52" s="23">
        <f t="shared" si="35"/>
        <v>410.745</v>
      </c>
      <c r="V52" s="23">
        <f t="shared" si="35"/>
        <v>413.71879999999999</v>
      </c>
      <c r="W52" s="23">
        <f t="shared" si="35"/>
        <v>428.11353000000003</v>
      </c>
      <c r="X52" s="23">
        <f t="shared" si="35"/>
        <v>441.00092000000001</v>
      </c>
      <c r="Y52" s="93"/>
      <c r="AA52" s="23">
        <f t="shared" si="19"/>
        <v>397490467.5</v>
      </c>
      <c r="AB52" s="23">
        <f t="shared" si="20"/>
        <v>403372342.49999994</v>
      </c>
      <c r="AC52" s="23">
        <f t="shared" si="21"/>
        <v>408006580</v>
      </c>
      <c r="AD52" s="23">
        <f t="shared" si="22"/>
        <v>415300437.50000006</v>
      </c>
      <c r="AE52" s="23">
        <f t="shared" si="23"/>
        <v>423394562.5</v>
      </c>
    </row>
    <row r="53" spans="1:35" x14ac:dyDescent="0.2">
      <c r="A53" s="5" t="s">
        <v>709</v>
      </c>
      <c r="B53" s="5" t="s">
        <v>710</v>
      </c>
      <c r="C53" s="93">
        <v>1.09554</v>
      </c>
      <c r="D53" s="93">
        <v>0.93922099999999997</v>
      </c>
      <c r="E53" s="93">
        <v>0.91187300000000004</v>
      </c>
      <c r="F53" s="93">
        <v>0.98262400000000005</v>
      </c>
      <c r="G53" s="93">
        <v>0.93875399999999998</v>
      </c>
      <c r="H53" s="93">
        <v>0.47445900000000002</v>
      </c>
      <c r="I53" s="93"/>
      <c r="J53" s="93"/>
      <c r="L53" s="93" t="s">
        <v>638</v>
      </c>
      <c r="M53" s="93" t="s">
        <v>711</v>
      </c>
      <c r="O53" s="5" t="s">
        <v>155</v>
      </c>
      <c r="P53" s="5"/>
      <c r="Q53" s="23">
        <f t="shared" si="35"/>
        <v>1256.9797000000001</v>
      </c>
      <c r="R53" s="23">
        <f t="shared" si="35"/>
        <v>1256.1946</v>
      </c>
      <c r="S53" s="23">
        <f t="shared" si="35"/>
        <v>1274.8213000000001</v>
      </c>
      <c r="T53" s="23">
        <f t="shared" si="35"/>
        <v>1299.3972000000001</v>
      </c>
      <c r="U53" s="23">
        <f t="shared" si="35"/>
        <v>1317.9685999999999</v>
      </c>
      <c r="V53" s="23">
        <f t="shared" si="35"/>
        <v>1314.4132999999999</v>
      </c>
      <c r="W53" s="23">
        <f t="shared" si="35"/>
        <v>1339.3626999999999</v>
      </c>
      <c r="X53" s="23">
        <f t="shared" si="35"/>
        <v>1367.2064</v>
      </c>
      <c r="Y53" s="93"/>
      <c r="AA53" s="23">
        <f t="shared" si="19"/>
        <v>1271848200.0000002</v>
      </c>
      <c r="AB53" s="23">
        <f t="shared" si="20"/>
        <v>1287095425.0000002</v>
      </c>
      <c r="AC53" s="23">
        <f t="shared" si="21"/>
        <v>1301650100</v>
      </c>
      <c r="AD53" s="23">
        <f t="shared" si="22"/>
        <v>1317785449.9999998</v>
      </c>
      <c r="AE53" s="23">
        <f t="shared" si="23"/>
        <v>1334737750</v>
      </c>
    </row>
    <row r="54" spans="1:35" x14ac:dyDescent="0.2">
      <c r="A54" s="5" t="s">
        <v>80</v>
      </c>
      <c r="B54" s="5" t="s">
        <v>712</v>
      </c>
      <c r="C54" s="93">
        <v>55.270960000000002</v>
      </c>
      <c r="D54" s="93">
        <v>55.199738000000004</v>
      </c>
      <c r="E54" s="93">
        <v>56.399417999999997</v>
      </c>
      <c r="F54" s="93">
        <v>59.588687999999998</v>
      </c>
      <c r="G54" s="93">
        <v>60.484596000000003</v>
      </c>
      <c r="H54" s="93">
        <v>55.383949999999999</v>
      </c>
      <c r="I54" s="93">
        <v>59.208767000000002</v>
      </c>
      <c r="J54" s="93">
        <v>56.308500000000002</v>
      </c>
      <c r="L54" s="93" t="s">
        <v>79</v>
      </c>
      <c r="M54" s="93" t="s">
        <v>70</v>
      </c>
      <c r="O54" s="5" t="s">
        <v>157</v>
      </c>
      <c r="P54" s="5"/>
      <c r="Q54" s="23">
        <f t="shared" si="35"/>
        <v>2465.6907000000001</v>
      </c>
      <c r="R54" s="23">
        <f t="shared" si="35"/>
        <v>2447.4254999999998</v>
      </c>
      <c r="S54" s="23">
        <f t="shared" si="35"/>
        <v>2458.1257000000001</v>
      </c>
      <c r="T54" s="23">
        <f t="shared" si="35"/>
        <v>2426.3989999999999</v>
      </c>
      <c r="U54" s="23">
        <f t="shared" si="35"/>
        <v>2402.0576000000001</v>
      </c>
      <c r="V54" s="23">
        <f t="shared" si="35"/>
        <v>2379.5783999999999</v>
      </c>
      <c r="W54" s="23">
        <f t="shared" si="35"/>
        <v>2401.16</v>
      </c>
      <c r="X54" s="23">
        <f t="shared" si="35"/>
        <v>2384.1518999999998</v>
      </c>
      <c r="Y54" s="93"/>
      <c r="AA54" s="23">
        <f t="shared" si="19"/>
        <v>2449410225</v>
      </c>
      <c r="AB54" s="23">
        <f t="shared" si="20"/>
        <v>2433501950</v>
      </c>
      <c r="AC54" s="23">
        <f t="shared" si="21"/>
        <v>2416540175</v>
      </c>
      <c r="AD54" s="23">
        <f t="shared" si="22"/>
        <v>2402298750</v>
      </c>
      <c r="AE54" s="23">
        <f t="shared" si="23"/>
        <v>2391736975</v>
      </c>
    </row>
    <row r="55" spans="1:35" x14ac:dyDescent="0.2">
      <c r="A55" s="5" t="s">
        <v>140</v>
      </c>
      <c r="B55" s="5" t="s">
        <v>713</v>
      </c>
      <c r="C55" s="93">
        <v>83.088449999999995</v>
      </c>
      <c r="D55" s="93">
        <v>82.119910000000004</v>
      </c>
      <c r="E55" s="93">
        <v>82.710846000000004</v>
      </c>
      <c r="F55" s="93">
        <v>82.469390000000004</v>
      </c>
      <c r="G55" s="93">
        <v>82.986490000000003</v>
      </c>
      <c r="H55" s="93">
        <v>81.449449999999999</v>
      </c>
      <c r="I55" s="93">
        <v>83.613204999999994</v>
      </c>
      <c r="J55" s="93">
        <v>83.987724</v>
      </c>
      <c r="L55" s="93" t="s">
        <v>139</v>
      </c>
      <c r="M55" s="93" t="s">
        <v>65</v>
      </c>
      <c r="O55" s="5" t="s">
        <v>159</v>
      </c>
      <c r="P55" s="5"/>
      <c r="Q55" s="23">
        <f t="shared" si="35"/>
        <v>284.17484000000002</v>
      </c>
      <c r="R55" s="23">
        <f t="shared" si="35"/>
        <v>271.62716999999998</v>
      </c>
      <c r="S55" s="23">
        <f t="shared" si="35"/>
        <v>245.92547999999999</v>
      </c>
      <c r="T55" s="23">
        <f t="shared" si="35"/>
        <v>246.16725</v>
      </c>
      <c r="U55" s="23">
        <f t="shared" si="35"/>
        <v>247.14822000000001</v>
      </c>
      <c r="V55" s="23">
        <f t="shared" si="35"/>
        <v>248.5369</v>
      </c>
      <c r="W55" s="23">
        <f t="shared" si="35"/>
        <v>243.73926</v>
      </c>
      <c r="X55" s="23">
        <f t="shared" si="35"/>
        <v>234.12826999999999</v>
      </c>
      <c r="Y55" s="93"/>
      <c r="AA55" s="23">
        <f t="shared" si="19"/>
        <v>261973685</v>
      </c>
      <c r="AB55" s="23">
        <f t="shared" si="20"/>
        <v>252717030</v>
      </c>
      <c r="AC55" s="23">
        <f t="shared" si="21"/>
        <v>246944462.5</v>
      </c>
      <c r="AD55" s="23">
        <f t="shared" si="22"/>
        <v>246397907.50000003</v>
      </c>
      <c r="AE55" s="23">
        <f t="shared" si="23"/>
        <v>243388162.49999997</v>
      </c>
    </row>
    <row r="56" spans="1:35" ht="12.75" customHeight="1" x14ac:dyDescent="0.2">
      <c r="A56" s="5" t="s">
        <v>142</v>
      </c>
      <c r="B56" s="5" t="s">
        <v>714</v>
      </c>
      <c r="C56" s="93">
        <v>0.40825497999999999</v>
      </c>
      <c r="D56" s="93">
        <v>0.478296</v>
      </c>
      <c r="E56" s="93">
        <v>0.44658999999999999</v>
      </c>
      <c r="F56" s="93">
        <v>0.44164999999999999</v>
      </c>
      <c r="G56" s="93">
        <v>0.47960999999999998</v>
      </c>
      <c r="H56" s="93">
        <v>0.53036099999999997</v>
      </c>
      <c r="I56" s="93">
        <v>0.41106302</v>
      </c>
      <c r="J56" s="93">
        <v>0.426423</v>
      </c>
      <c r="L56" s="93" t="s">
        <v>141</v>
      </c>
      <c r="M56" s="93" t="s">
        <v>70</v>
      </c>
      <c r="O56" s="5" t="s">
        <v>161</v>
      </c>
      <c r="P56" s="5"/>
      <c r="Q56" s="23"/>
      <c r="R56" s="23"/>
      <c r="S56" s="23"/>
      <c r="T56" s="23"/>
      <c r="U56" s="23"/>
      <c r="V56" s="23"/>
      <c r="W56" s="23"/>
      <c r="X56" s="23"/>
      <c r="AA56" s="23">
        <f>'Calculations - Part 1'!$F$56</f>
        <v>159588579.0945825</v>
      </c>
      <c r="AB56" s="23">
        <f>'Calculations - Part 1'!$F$56</f>
        <v>159588579.0945825</v>
      </c>
      <c r="AC56" s="23">
        <f>'Calculations - Part 1'!$F$56</f>
        <v>159588579.0945825</v>
      </c>
      <c r="AD56" s="23">
        <f>'Calculations - Part 1'!$F$56</f>
        <v>159588579.0945825</v>
      </c>
      <c r="AE56" s="23">
        <f>'Calculations - Part 1'!$F$56</f>
        <v>159588579.0945825</v>
      </c>
      <c r="AF56" s="93" t="s">
        <v>662</v>
      </c>
    </row>
    <row r="57" spans="1:35" x14ac:dyDescent="0.2">
      <c r="A57" s="5" t="s">
        <v>170</v>
      </c>
      <c r="B57" s="5" t="s">
        <v>715</v>
      </c>
      <c r="C57" s="93">
        <v>0.28146300000000002</v>
      </c>
      <c r="D57" s="93">
        <v>0.318998</v>
      </c>
      <c r="E57" s="93">
        <v>0.32898100000000002</v>
      </c>
      <c r="F57" s="93">
        <v>0.317465</v>
      </c>
      <c r="G57" s="93">
        <v>0.20210400000000001</v>
      </c>
      <c r="H57" s="93">
        <v>6.0420000000000001E-2</v>
      </c>
      <c r="I57" s="93">
        <v>6.9122000000000003E-2</v>
      </c>
      <c r="J57" s="93">
        <v>6.8108000000000002E-2</v>
      </c>
      <c r="L57" s="93" t="b">
        <v>0</v>
      </c>
      <c r="M57" s="93" t="b">
        <v>0</v>
      </c>
      <c r="O57" s="5" t="s">
        <v>163</v>
      </c>
      <c r="P57" s="5"/>
      <c r="Q57" s="23">
        <f t="shared" ref="Q57:X57" si="36">_xlfn.XLOOKUP($O57,$L$8:$L$74,C$8:C$74,FALSE)</f>
        <v>237.28658999999999</v>
      </c>
      <c r="R57" s="23">
        <f t="shared" si="36"/>
        <v>243.99957000000001</v>
      </c>
      <c r="S57" s="23">
        <f t="shared" si="36"/>
        <v>240.76256000000001</v>
      </c>
      <c r="T57" s="23">
        <f t="shared" si="36"/>
        <v>240.47948</v>
      </c>
      <c r="U57" s="23">
        <f t="shared" si="36"/>
        <v>236.77464000000001</v>
      </c>
      <c r="V57" s="23">
        <f t="shared" si="36"/>
        <v>216.43809999999999</v>
      </c>
      <c r="W57" s="23">
        <f t="shared" si="36"/>
        <v>226.35648</v>
      </c>
      <c r="X57" s="23">
        <f t="shared" si="36"/>
        <v>215.43693999999999</v>
      </c>
      <c r="Y57" s="93"/>
      <c r="AA57" s="23">
        <f>AVERAGE(Q57:T57)*1000000</f>
        <v>240632050</v>
      </c>
      <c r="AB57" s="23">
        <f>AVERAGE(R57:U57)*1000000</f>
        <v>240504062.5</v>
      </c>
      <c r="AC57" s="23">
        <f>AVERAGE(S57:V57)*1000000</f>
        <v>233613694.99999997</v>
      </c>
      <c r="AD57" s="23">
        <f>AVERAGE(T57:W57)*1000000</f>
        <v>230012175</v>
      </c>
      <c r="AE57" s="23">
        <f>AVERAGE(U57:X57)*1000000</f>
        <v>223751539.99999997</v>
      </c>
    </row>
    <row r="58" spans="1:35" x14ac:dyDescent="0.2">
      <c r="A58" s="5" t="s">
        <v>114</v>
      </c>
      <c r="B58" s="5" t="s">
        <v>716</v>
      </c>
      <c r="C58" s="93">
        <v>724.84709999999995</v>
      </c>
      <c r="D58" s="93">
        <v>737.17819999999995</v>
      </c>
      <c r="E58" s="93">
        <v>748.32669999999996</v>
      </c>
      <c r="F58" s="93">
        <v>757.55139999999994</v>
      </c>
      <c r="G58" s="93">
        <v>759.93713000000002</v>
      </c>
      <c r="H58" s="93">
        <v>745.54663000000005</v>
      </c>
      <c r="I58" s="93">
        <v>771.21924000000001</v>
      </c>
      <c r="J58" s="93">
        <v>784.9751</v>
      </c>
      <c r="L58" s="93" t="s">
        <v>113</v>
      </c>
      <c r="M58" s="93" t="s">
        <v>65</v>
      </c>
      <c r="O58" s="5" t="s">
        <v>165</v>
      </c>
      <c r="P58" s="5" t="s">
        <v>166</v>
      </c>
      <c r="Q58" s="5"/>
      <c r="R58" s="5"/>
      <c r="S58" s="5"/>
      <c r="T58" s="5"/>
      <c r="U58" s="5"/>
      <c r="V58" s="5"/>
      <c r="W58" s="5"/>
      <c r="X58" s="5"/>
      <c r="Y58" s="93"/>
      <c r="AA58" s="93"/>
      <c r="AB58" s="93"/>
      <c r="AC58" s="93"/>
      <c r="AD58" s="93"/>
      <c r="AE58" s="93"/>
      <c r="AF58" t="s">
        <v>717</v>
      </c>
    </row>
    <row r="59" spans="1:35" x14ac:dyDescent="0.2">
      <c r="A59" s="5" t="s">
        <v>718</v>
      </c>
      <c r="B59" s="5" t="s">
        <v>719</v>
      </c>
      <c r="C59" s="93"/>
      <c r="D59" s="93"/>
      <c r="E59" s="93"/>
      <c r="F59" s="93"/>
      <c r="G59" s="93">
        <v>0.20261599</v>
      </c>
      <c r="H59" s="93">
        <v>0.93551499999999999</v>
      </c>
      <c r="I59" s="93">
        <v>1.1346130000000001</v>
      </c>
      <c r="J59" s="93">
        <v>1.4160060000000001</v>
      </c>
      <c r="L59" s="93" t="b">
        <v>0</v>
      </c>
      <c r="M59" s="93" t="b">
        <v>0</v>
      </c>
      <c r="O59" s="5" t="s">
        <v>167</v>
      </c>
      <c r="P59" s="5" t="s">
        <v>168</v>
      </c>
      <c r="Q59" s="5"/>
      <c r="R59" s="5"/>
      <c r="S59" s="5"/>
      <c r="T59" s="5"/>
      <c r="U59" s="5"/>
      <c r="V59" s="5"/>
      <c r="W59" s="5"/>
      <c r="X59" s="5"/>
      <c r="Y59" s="93"/>
      <c r="AA59" s="93"/>
      <c r="AB59" s="93"/>
      <c r="AC59" s="93"/>
      <c r="AD59" s="93"/>
      <c r="AE59" s="93"/>
      <c r="AF59" t="s">
        <v>717</v>
      </c>
    </row>
    <row r="60" spans="1:35" x14ac:dyDescent="0.2">
      <c r="A60" s="5" t="s">
        <v>720</v>
      </c>
      <c r="B60" s="5" t="s">
        <v>721</v>
      </c>
      <c r="C60" s="93">
        <v>1.1163879999999999</v>
      </c>
      <c r="D60" s="93">
        <v>0.93531597</v>
      </c>
      <c r="E60" s="93">
        <v>1.0859799000000001</v>
      </c>
      <c r="F60" s="93">
        <v>0.59942200000000001</v>
      </c>
      <c r="G60" s="93">
        <v>0.54818100000000003</v>
      </c>
      <c r="H60" s="93">
        <v>0.130298</v>
      </c>
      <c r="I60" s="93">
        <v>0.465837</v>
      </c>
      <c r="J60" s="93">
        <v>0.159638</v>
      </c>
      <c r="L60" s="93" t="s">
        <v>125</v>
      </c>
      <c r="M60" s="93" t="s">
        <v>41</v>
      </c>
      <c r="O60" s="5" t="s">
        <v>169</v>
      </c>
      <c r="P60" s="5" t="s">
        <v>170</v>
      </c>
      <c r="Q60" s="5"/>
      <c r="R60" s="5"/>
      <c r="S60" s="5"/>
      <c r="T60" s="5"/>
      <c r="U60" s="5"/>
      <c r="V60" s="5"/>
      <c r="W60" s="5"/>
      <c r="X60" s="5"/>
      <c r="Y60" s="93"/>
      <c r="AA60" s="93"/>
      <c r="AB60" s="93"/>
      <c r="AC60" s="93"/>
      <c r="AD60" s="93"/>
      <c r="AE60" s="93"/>
      <c r="AF60" t="s">
        <v>717</v>
      </c>
    </row>
    <row r="61" spans="1:35" x14ac:dyDescent="0.2">
      <c r="A61" s="5" t="s">
        <v>148</v>
      </c>
      <c r="B61" s="5" t="s">
        <v>722</v>
      </c>
      <c r="C61" s="93">
        <v>359.10638</v>
      </c>
      <c r="D61" s="93">
        <v>355.41660000000002</v>
      </c>
      <c r="E61" s="93">
        <v>355.85399999999998</v>
      </c>
      <c r="F61" s="93">
        <v>362.39163000000002</v>
      </c>
      <c r="G61" s="93">
        <v>361.75900000000001</v>
      </c>
      <c r="H61" s="93">
        <v>352.61196999999999</v>
      </c>
      <c r="I61" s="93">
        <v>365.77010000000001</v>
      </c>
      <c r="J61" s="93">
        <v>367.67394999999999</v>
      </c>
      <c r="L61" s="93" t="s">
        <v>147</v>
      </c>
      <c r="M61" s="93" t="s">
        <v>65</v>
      </c>
      <c r="O61" s="5" t="s">
        <v>171</v>
      </c>
      <c r="P61" s="5" t="s">
        <v>172</v>
      </c>
      <c r="Q61" s="5"/>
      <c r="R61" s="5"/>
      <c r="S61" s="5"/>
      <c r="T61" s="5"/>
      <c r="U61" s="5"/>
      <c r="V61" s="5"/>
      <c r="W61" s="5"/>
      <c r="X61" s="5"/>
      <c r="Y61" s="93"/>
      <c r="AA61" s="93"/>
      <c r="AB61" s="93"/>
      <c r="AC61" s="93"/>
      <c r="AD61" s="93"/>
      <c r="AE61" s="93"/>
      <c r="AF61" t="s">
        <v>717</v>
      </c>
    </row>
    <row r="62" spans="1:35" x14ac:dyDescent="0.2">
      <c r="A62" s="5" t="s">
        <v>723</v>
      </c>
      <c r="B62" s="5" t="s">
        <v>724</v>
      </c>
      <c r="C62" s="93">
        <v>775.39264000000003</v>
      </c>
      <c r="D62" s="93">
        <v>773.59429999999998</v>
      </c>
      <c r="E62" s="93">
        <v>783.22209999999995</v>
      </c>
      <c r="F62" s="93">
        <v>787.68535999999995</v>
      </c>
      <c r="G62" s="93">
        <v>790.44600000000003</v>
      </c>
      <c r="H62" s="93">
        <v>807.79679999999996</v>
      </c>
      <c r="I62" s="93">
        <v>852.52985000000001</v>
      </c>
      <c r="J62" s="93">
        <v>858.51604999999995</v>
      </c>
      <c r="L62" s="93" t="s">
        <v>137</v>
      </c>
      <c r="M62" s="93" t="s">
        <v>65</v>
      </c>
      <c r="O62" s="5" t="s">
        <v>173</v>
      </c>
      <c r="P62" s="5" t="s">
        <v>174</v>
      </c>
      <c r="Q62" s="5"/>
      <c r="R62" s="5"/>
      <c r="S62" s="5"/>
      <c r="T62" s="5"/>
      <c r="U62" s="5"/>
      <c r="V62" s="5"/>
      <c r="W62" s="5"/>
      <c r="X62" s="5"/>
      <c r="Y62" s="93"/>
      <c r="AA62" s="93"/>
      <c r="AB62" s="93"/>
      <c r="AC62" s="93"/>
      <c r="AD62" s="93"/>
      <c r="AE62" s="93"/>
      <c r="AF62" t="s">
        <v>717</v>
      </c>
      <c r="AH62" s="52"/>
      <c r="AI62" s="52"/>
    </row>
    <row r="63" spans="1:35" x14ac:dyDescent="0.2">
      <c r="A63" s="5" t="s">
        <v>725</v>
      </c>
      <c r="B63" s="5" t="s">
        <v>645</v>
      </c>
      <c r="C63" s="93"/>
      <c r="D63" s="93"/>
      <c r="E63" s="93"/>
      <c r="F63" s="93"/>
      <c r="G63" s="93"/>
      <c r="H63" s="93"/>
      <c r="I63" s="93">
        <v>0.210068</v>
      </c>
      <c r="J63" s="93">
        <v>0.62098900000000001</v>
      </c>
      <c r="L63" s="93" t="s">
        <v>726</v>
      </c>
      <c r="M63" s="93" t="s">
        <v>41</v>
      </c>
      <c r="O63" s="5" t="s">
        <v>103</v>
      </c>
      <c r="P63" s="5" t="s">
        <v>175</v>
      </c>
      <c r="Q63" s="5"/>
      <c r="R63" s="5"/>
      <c r="S63" s="5"/>
      <c r="T63" s="5"/>
      <c r="U63" s="5"/>
      <c r="V63" s="5"/>
      <c r="W63" s="5"/>
      <c r="X63" s="5"/>
      <c r="Y63" s="93"/>
      <c r="AA63" s="93"/>
      <c r="AB63" s="93"/>
      <c r="AC63" s="93"/>
      <c r="AD63" s="93"/>
      <c r="AE63" s="93"/>
      <c r="AF63" t="s">
        <v>717</v>
      </c>
    </row>
    <row r="64" spans="1:35" x14ac:dyDescent="0.2">
      <c r="A64" s="5" t="s">
        <v>725</v>
      </c>
      <c r="B64" s="5" t="s">
        <v>727</v>
      </c>
      <c r="C64" s="93">
        <v>0.543319</v>
      </c>
      <c r="D64" s="93">
        <v>0.51937100000000003</v>
      </c>
      <c r="E64" s="93">
        <v>0.57822399999999996</v>
      </c>
      <c r="F64" s="93">
        <v>0.55827599999999999</v>
      </c>
      <c r="G64" s="93">
        <v>0.61684300000000003</v>
      </c>
      <c r="H64" s="93">
        <v>0.44537900000000002</v>
      </c>
      <c r="I64" s="93">
        <v>0.36508200000000002</v>
      </c>
      <c r="J64" s="93"/>
      <c r="L64" s="93" t="s">
        <v>726</v>
      </c>
      <c r="M64" s="93" t="s">
        <v>41</v>
      </c>
    </row>
    <row r="65" spans="1:31" x14ac:dyDescent="0.2">
      <c r="A65" s="5" t="s">
        <v>728</v>
      </c>
      <c r="B65" s="5" t="s">
        <v>727</v>
      </c>
      <c r="C65" s="93">
        <v>1.9373050999999999</v>
      </c>
      <c r="D65" s="93">
        <v>0.57657199999999997</v>
      </c>
      <c r="E65" s="93">
        <v>0.13497700000000001</v>
      </c>
      <c r="F65" s="93">
        <v>0.13253100000000001</v>
      </c>
      <c r="G65" s="93">
        <v>0.374394</v>
      </c>
      <c r="H65" s="93">
        <v>1.0268561</v>
      </c>
      <c r="I65" s="93">
        <v>0.86243000000000003</v>
      </c>
      <c r="J65" s="93">
        <v>0.29525600000000002</v>
      </c>
      <c r="L65" s="93" t="s">
        <v>103</v>
      </c>
      <c r="M65" s="93" t="s">
        <v>41</v>
      </c>
      <c r="AA65" s="93">
        <f>SUM(AA8:AA57)</f>
        <v>40732115898.742485</v>
      </c>
      <c r="AB65" s="93">
        <f>SUM(AB8:AB57)</f>
        <v>40709713327.447487</v>
      </c>
      <c r="AC65" s="93">
        <f>SUM(AC8:AC57)</f>
        <v>40667551887.028984</v>
      </c>
      <c r="AD65" s="93">
        <f>SUM(AD8:AD57)</f>
        <v>40758593378.008987</v>
      </c>
      <c r="AE65" s="93">
        <f>SUM(AE8:AE57)</f>
        <v>40846276120.308983</v>
      </c>
    </row>
    <row r="66" spans="1:31" x14ac:dyDescent="0.2">
      <c r="A66" s="5" t="s">
        <v>729</v>
      </c>
      <c r="B66" s="5" t="s">
        <v>730</v>
      </c>
      <c r="C66" s="93">
        <v>60.112850000000002</v>
      </c>
      <c r="D66" s="93">
        <v>65.296869999999998</v>
      </c>
      <c r="E66" s="93">
        <v>66.736310000000003</v>
      </c>
      <c r="F66" s="93">
        <v>66.502880000000005</v>
      </c>
      <c r="G66" s="93">
        <v>64.029915000000003</v>
      </c>
      <c r="H66" s="93">
        <v>65.180840000000003</v>
      </c>
      <c r="I66" s="93">
        <v>68.178929999999994</v>
      </c>
      <c r="J66" s="93">
        <v>68.301929999999999</v>
      </c>
      <c r="L66" s="93" t="s">
        <v>638</v>
      </c>
      <c r="M66" s="93" t="s">
        <v>731</v>
      </c>
    </row>
    <row r="67" spans="1:31" x14ac:dyDescent="0.2">
      <c r="A67" s="5" t="s">
        <v>158</v>
      </c>
      <c r="B67" s="5" t="s">
        <v>732</v>
      </c>
      <c r="C67" s="93">
        <v>2733.8896</v>
      </c>
      <c r="D67" s="93">
        <v>2756.6592000000001</v>
      </c>
      <c r="E67" s="93">
        <v>2782.2235999999998</v>
      </c>
      <c r="F67" s="93">
        <v>2824.8816000000002</v>
      </c>
      <c r="G67" s="93">
        <v>2821.0934999999999</v>
      </c>
      <c r="H67" s="93">
        <v>2819.5846999999999</v>
      </c>
      <c r="I67" s="93">
        <v>2851.672</v>
      </c>
      <c r="J67" s="93">
        <v>2890.6711</v>
      </c>
      <c r="L67" s="93" t="s">
        <v>157</v>
      </c>
      <c r="M67" s="93" t="s">
        <v>65</v>
      </c>
    </row>
    <row r="68" spans="1:31" x14ac:dyDescent="0.2">
      <c r="A68" s="5" t="s">
        <v>152</v>
      </c>
      <c r="B68" s="5" t="s">
        <v>733</v>
      </c>
      <c r="C68" s="93">
        <v>6019.9926999999998</v>
      </c>
      <c r="D68" s="93">
        <v>5929.6279999999997</v>
      </c>
      <c r="E68" s="93">
        <v>5884.3887000000004</v>
      </c>
      <c r="F68" s="93">
        <v>5946.4696999999996</v>
      </c>
      <c r="G68" s="93">
        <v>5901.9326000000001</v>
      </c>
      <c r="H68" s="93">
        <v>5804.9579999999996</v>
      </c>
      <c r="I68" s="93">
        <v>5807.0736999999999</v>
      </c>
      <c r="J68" s="93">
        <v>5819.3239999999996</v>
      </c>
      <c r="L68" s="93" t="s">
        <v>151</v>
      </c>
      <c r="M68" s="93" t="s">
        <v>65</v>
      </c>
    </row>
    <row r="69" spans="1:31" x14ac:dyDescent="0.2">
      <c r="A69" s="5" t="s">
        <v>734</v>
      </c>
      <c r="B69" s="5" t="s">
        <v>735</v>
      </c>
      <c r="C69" s="93">
        <v>1256.9797000000001</v>
      </c>
      <c r="D69" s="93">
        <v>1256.1946</v>
      </c>
      <c r="E69" s="93">
        <v>1274.8213000000001</v>
      </c>
      <c r="F69" s="93">
        <v>1299.3972000000001</v>
      </c>
      <c r="G69" s="93">
        <v>1317.9685999999999</v>
      </c>
      <c r="H69" s="93">
        <v>1314.4132999999999</v>
      </c>
      <c r="I69" s="93">
        <v>1339.3626999999999</v>
      </c>
      <c r="J69" s="93">
        <v>1367.2064</v>
      </c>
      <c r="L69" s="93" t="s">
        <v>155</v>
      </c>
      <c r="M69" s="93" t="s">
        <v>65</v>
      </c>
    </row>
    <row r="70" spans="1:31" x14ac:dyDescent="0.2">
      <c r="A70" s="5" t="s">
        <v>154</v>
      </c>
      <c r="B70" s="5" t="s">
        <v>736</v>
      </c>
      <c r="C70" s="93">
        <v>387.21749999999997</v>
      </c>
      <c r="D70" s="93">
        <v>395.18185</v>
      </c>
      <c r="E70" s="93">
        <v>398.93810000000002</v>
      </c>
      <c r="F70" s="93">
        <v>408.62441999999999</v>
      </c>
      <c r="G70" s="93">
        <v>410.745</v>
      </c>
      <c r="H70" s="93">
        <v>413.71879999999999</v>
      </c>
      <c r="I70" s="93">
        <v>428.11353000000003</v>
      </c>
      <c r="J70" s="93">
        <v>441.00092000000001</v>
      </c>
      <c r="L70" s="93" t="s">
        <v>153</v>
      </c>
      <c r="M70" s="93" t="s">
        <v>65</v>
      </c>
    </row>
    <row r="71" spans="1:31" x14ac:dyDescent="0.2">
      <c r="A71" s="5" t="s">
        <v>116</v>
      </c>
      <c r="B71" s="5" t="s">
        <v>737</v>
      </c>
      <c r="C71" s="93">
        <v>292.15832999999998</v>
      </c>
      <c r="D71" s="93">
        <v>290.18581999999998</v>
      </c>
      <c r="E71" s="93">
        <v>240.50443000000001</v>
      </c>
      <c r="F71" s="93">
        <v>268.43331999999998</v>
      </c>
      <c r="G71" s="93">
        <v>256.29397999999998</v>
      </c>
      <c r="H71" s="93">
        <v>279.19542999999999</v>
      </c>
      <c r="I71" s="93">
        <v>315.12047999999999</v>
      </c>
      <c r="J71" s="93">
        <v>250.12221</v>
      </c>
      <c r="L71" s="93" t="s">
        <v>115</v>
      </c>
      <c r="M71" s="93" t="s">
        <v>65</v>
      </c>
    </row>
    <row r="72" spans="1:31" x14ac:dyDescent="0.2">
      <c r="A72" s="5" t="s">
        <v>164</v>
      </c>
      <c r="B72" s="5" t="s">
        <v>163</v>
      </c>
      <c r="C72" s="93">
        <v>237.28658999999999</v>
      </c>
      <c r="D72" s="93">
        <v>243.99957000000001</v>
      </c>
      <c r="E72" s="93">
        <v>240.76256000000001</v>
      </c>
      <c r="F72" s="93">
        <v>240.47948</v>
      </c>
      <c r="G72" s="93">
        <v>236.77464000000001</v>
      </c>
      <c r="H72" s="93">
        <v>216.43809999999999</v>
      </c>
      <c r="I72" s="93">
        <v>226.35648</v>
      </c>
      <c r="J72" s="93">
        <v>215.43693999999999</v>
      </c>
      <c r="L72" s="93" t="s">
        <v>163</v>
      </c>
      <c r="M72" s="93" t="s">
        <v>70</v>
      </c>
    </row>
    <row r="73" spans="1:31" x14ac:dyDescent="0.2">
      <c r="A73" s="5" t="s">
        <v>160</v>
      </c>
      <c r="B73" s="5" t="s">
        <v>738</v>
      </c>
      <c r="C73" s="93">
        <v>284.17484000000002</v>
      </c>
      <c r="D73" s="93">
        <v>271.62716999999998</v>
      </c>
      <c r="E73" s="93">
        <v>245.92547999999999</v>
      </c>
      <c r="F73" s="93">
        <v>246.16725</v>
      </c>
      <c r="G73" s="93">
        <v>247.14822000000001</v>
      </c>
      <c r="H73" s="93">
        <v>248.5369</v>
      </c>
      <c r="I73" s="93">
        <v>243.73926</v>
      </c>
      <c r="J73" s="93">
        <v>234.12826999999999</v>
      </c>
      <c r="L73" s="93" t="s">
        <v>159</v>
      </c>
      <c r="M73" s="93" t="s">
        <v>65</v>
      </c>
    </row>
    <row r="74" spans="1:31" x14ac:dyDescent="0.2">
      <c r="A74" s="5" t="s">
        <v>739</v>
      </c>
      <c r="B74" s="5" t="s">
        <v>740</v>
      </c>
      <c r="C74" s="93"/>
      <c r="D74" s="93"/>
      <c r="E74" s="93"/>
      <c r="F74" s="93"/>
      <c r="G74" s="93"/>
      <c r="H74" s="93"/>
      <c r="I74" s="93">
        <v>0.29388199999999998</v>
      </c>
      <c r="J74" s="93">
        <v>0.54449402999999996</v>
      </c>
      <c r="L74" s="93" t="s">
        <v>740</v>
      </c>
      <c r="M74" s="93" t="b">
        <v>0</v>
      </c>
    </row>
    <row r="76" spans="1:31" x14ac:dyDescent="0.2">
      <c r="C76" s="2">
        <f t="shared" ref="C76:J76" si="37">SUM(C8:C74)</f>
        <v>40597.6073865785</v>
      </c>
      <c r="D76" s="2">
        <f t="shared" si="37"/>
        <v>40669.686252974003</v>
      </c>
      <c r="E76" s="2">
        <f t="shared" si="37"/>
        <v>40481.102180900009</v>
      </c>
      <c r="F76" s="2">
        <f t="shared" si="37"/>
        <v>40798.268770999988</v>
      </c>
      <c r="G76" s="2">
        <f t="shared" si="37"/>
        <v>40925.065685289999</v>
      </c>
      <c r="H76" s="2">
        <f t="shared" si="37"/>
        <v>40845.525022400005</v>
      </c>
      <c r="I76" s="2">
        <f t="shared" si="37"/>
        <v>41201.418257830002</v>
      </c>
      <c r="J76" s="2">
        <f t="shared" si="37"/>
        <v>41045.390262230001</v>
      </c>
    </row>
  </sheetData>
  <autoFilter ref="L7:M76" xr:uid="{30CFB8C6-33CF-4F32-9472-46F20A74B613}"/>
  <pageMargins left="0.7" right="0.7" top="0.75" bottom="0.75" header="0.3" footer="0.3"/>
  <pageSetup paperSize="8" scale="28" orientation="landscape" r:id="rId1"/>
  <headerFooter>
    <oddFooter>&amp;C_x000D_&amp;1#&amp;"Calibri"&amp;10&amp;K000000 IN-CONFIDENCE: ORGANISATION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37B91484781D4699EBB76BFFAB7BA4" ma:contentTypeVersion="10" ma:contentTypeDescription="Create a new document." ma:contentTypeScope="" ma:versionID="8475b3e12d0b8437c32ef1443e8e9ff6">
  <xsd:schema xmlns:xsd="http://www.w3.org/2001/XMLSchema" xmlns:xs="http://www.w3.org/2001/XMLSchema" xmlns:p="http://schemas.microsoft.com/office/2006/metadata/properties" xmlns:ns2="840babac-d7c1-43c2-8440-9b4a00dc152f" xmlns:ns3="716f5bfe-9fc3-43ee-97d0-b90e3dd0cbcf" targetNamespace="http://schemas.microsoft.com/office/2006/metadata/properties" ma:root="true" ma:fieldsID="b89dd9c6e4a007fbd6969e24e92e3818" ns2:_="" ns3:_="">
    <xsd:import namespace="840babac-d7c1-43c2-8440-9b4a00dc152f"/>
    <xsd:import namespace="716f5bfe-9fc3-43ee-97d0-b90e3dd0cbc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0babac-d7c1-43c2-8440-9b4a00dc15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6f5bfe-9fc3-43ee-97d0-b90e3dd0cbc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716f5bfe-9fc3-43ee-97d0-b90e3dd0cbcf">
      <UserInfo>
        <DisplayName>Tobias Maugg</DisplayName>
        <AccountId>11</AccountId>
        <AccountType/>
      </UserInfo>
      <UserInfo>
        <DisplayName>Tim Sparks</DisplayName>
        <AccountId>16</AccountId>
        <AccountType/>
      </UserInfo>
      <UserInfo>
        <DisplayName>Nikki Murphy</DisplayName>
        <AccountId>34</AccountId>
        <AccountType/>
      </UserInfo>
    </SharedWithUsers>
  </documentManagement>
</p:properties>
</file>

<file path=customXml/itemProps1.xml><?xml version="1.0" encoding="utf-8"?>
<ds:datastoreItem xmlns:ds="http://schemas.openxmlformats.org/officeDocument/2006/customXml" ds:itemID="{0A6EDF7B-AB33-4E9D-8087-312C72E20F30}">
  <ds:schemaRefs>
    <ds:schemaRef ds:uri="http://schemas.microsoft.com/sharepoint/v3/contenttype/forms"/>
  </ds:schemaRefs>
</ds:datastoreItem>
</file>

<file path=customXml/itemProps2.xml><?xml version="1.0" encoding="utf-8"?>
<ds:datastoreItem xmlns:ds="http://schemas.openxmlformats.org/officeDocument/2006/customXml" ds:itemID="{EBAB924E-8DCF-4C1F-8B55-D58F8F62E2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0babac-d7c1-43c2-8440-9b4a00dc152f"/>
    <ds:schemaRef ds:uri="716f5bfe-9fc3-43ee-97d0-b90e3dd0c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4173C2-3042-46D5-8C98-D1A65EE37E64}">
  <ds:schemaRefs>
    <ds:schemaRef ds:uri="http://schemas.microsoft.com/office/infopath/2007/PartnerControls"/>
    <ds:schemaRef ds:uri="http://www.w3.org/XML/1998/namespace"/>
    <ds:schemaRef ds:uri="http://schemas.microsoft.com/office/2006/documentManagement/types"/>
    <ds:schemaRef ds:uri="http://purl.org/dc/dcmitype/"/>
    <ds:schemaRef ds:uri="http://purl.org/dc/terms/"/>
    <ds:schemaRef ds:uri="http://schemas.openxmlformats.org/package/2006/metadata/core-properties"/>
    <ds:schemaRef ds:uri="http://purl.org/dc/elements/1.1/"/>
    <ds:schemaRef ds:uri="716f5bfe-9fc3-43ee-97d0-b90e3dd0cbcf"/>
    <ds:schemaRef ds:uri="840babac-d7c1-43c2-8440-9b4a00dc152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Title</vt:lpstr>
      <vt:lpstr>Overview</vt:lpstr>
      <vt:lpstr>Part 1&gt;&gt;</vt:lpstr>
      <vt:lpstr>Outputs - Part 1</vt:lpstr>
      <vt:lpstr>Calculations - Part 1</vt:lpstr>
      <vt:lpstr>Inputs - Part 1</vt:lpstr>
      <vt:lpstr>Part 2&gt;&gt;</vt:lpstr>
      <vt:lpstr>Outputs - Part 2</vt:lpstr>
      <vt:lpstr>Calculations - Part 2</vt:lpstr>
      <vt:lpstr>Inputs - Part 2</vt:lpstr>
      <vt:lpstr>Title!Print_Area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Calderwood</dc:creator>
  <cp:keywords/>
  <dc:description/>
  <cp:lastModifiedBy>Sam Hales</cp:lastModifiedBy>
  <cp:revision/>
  <dcterms:created xsi:type="dcterms:W3CDTF">2024-04-26T02:15:20Z</dcterms:created>
  <dcterms:modified xsi:type="dcterms:W3CDTF">2024-09-02T01:28:32Z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f68beb-c95d-4953-9cdb-0831b613d650_Name">
    <vt:lpwstr>In-Confidence</vt:lpwstr>
  </property>
  <property fmtid="{D5CDD505-2E9C-101B-9397-08002B2CF9AE}" pid="3" name="MSIP_Label_52f68beb-c95d-4953-9cdb-0831b613d650_SetDate">
    <vt:lpwstr>2024-08-30T02:15:42Z</vt:lpwstr>
  </property>
  <property fmtid="{D5CDD505-2E9C-101B-9397-08002B2CF9AE}" pid="4" name="MSIP_Label_52f68beb-c95d-4953-9cdb-0831b613d650_SiteId">
    <vt:lpwstr>01ce6efc-7935-414f-b831-2b1d356f92e4</vt:lpwstr>
  </property>
  <property fmtid="{D5CDD505-2E9C-101B-9397-08002B2CF9AE}" pid="5" name="MSIP_Label_52f68beb-c95d-4953-9cdb-0831b613d650_Enabled">
    <vt:lpwstr>True</vt:lpwstr>
  </property>
  <property fmtid="{D5CDD505-2E9C-101B-9397-08002B2CF9AE}" pid="6" name="ContentTypeId">
    <vt:lpwstr>0x0101001137B91484781D4699EBB76BFFAB7BA4</vt:lpwstr>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xd_Signature">
    <vt:bool>false</vt:bool>
  </property>
  <property fmtid="{D5CDD505-2E9C-101B-9397-08002B2CF9AE}" pid="13" name="SharedWithUsers">
    <vt:lpwstr>11;#Tobias Maugg;#16;#Tim Sparks;#34;#Nikki Murphy</vt:lpwstr>
  </property>
  <property fmtid="{D5CDD505-2E9C-101B-9397-08002B2CF9AE}" pid="14" name="MSIP_Label_729a19d4-3005-49f1-9d8c-8924f528f29b_Extended_MSFT_Method">
    <vt:lpwstr>Standard</vt:lpwstr>
  </property>
  <property fmtid="{D5CDD505-2E9C-101B-9397-08002B2CF9AE}" pid="15" name="MSIP_Label_729a19d4-3005-49f1-9d8c-8924f528f29b_Parent">
    <vt:lpwstr>52f68beb-c95d-4953-9cdb-0831b613d650</vt:lpwstr>
  </property>
  <property fmtid="{D5CDD505-2E9C-101B-9397-08002B2CF9AE}" pid="16" name="MSIP_Label_729a19d4-3005-49f1-9d8c-8924f528f29b_Removed">
    <vt:lpwstr>False</vt:lpwstr>
  </property>
  <property fmtid="{D5CDD505-2E9C-101B-9397-08002B2CF9AE}" pid="17" name="MSIP_Label_729a19d4-3005-49f1-9d8c-8924f528f29b_ActionId">
    <vt:lpwstr>e15a5ebb-1ff2-45ec-ac1f-a9cd8cef9518</vt:lpwstr>
  </property>
  <property fmtid="{D5CDD505-2E9C-101B-9397-08002B2CF9AE}" pid="18" name="MSIP_Label_729a19d4-3005-49f1-9d8c-8924f528f29b_Name">
    <vt:lpwstr>In-Confidence \ Organisation internal</vt:lpwstr>
  </property>
  <property fmtid="{D5CDD505-2E9C-101B-9397-08002B2CF9AE}" pid="19" name="MSIP_Label_729a19d4-3005-49f1-9d8c-8924f528f29b_SetDate">
    <vt:lpwstr>2024-08-30T02:15:42Z</vt:lpwstr>
  </property>
  <property fmtid="{D5CDD505-2E9C-101B-9397-08002B2CF9AE}" pid="20" name="MSIP_Label_729a19d4-3005-49f1-9d8c-8924f528f29b_SiteId">
    <vt:lpwstr>01ce6efc-7935-414f-b831-2b1d356f92e4</vt:lpwstr>
  </property>
  <property fmtid="{D5CDD505-2E9C-101B-9397-08002B2CF9AE}" pid="21" name="MSIP_Label_729a19d4-3005-49f1-9d8c-8924f528f29b_Enabled">
    <vt:lpwstr>True</vt:lpwstr>
  </property>
  <property fmtid="{D5CDD505-2E9C-101B-9397-08002B2CF9AE}" pid="22" name="MSIP_Label_52f68beb-c95d-4953-9cdb-0831b613d650_ActionId">
    <vt:lpwstr>d344c598-06d9-4242-bc47-17c2f063006b</vt:lpwstr>
  </property>
  <property fmtid="{D5CDD505-2E9C-101B-9397-08002B2CF9AE}" pid="23" name="MSIP_Label_52f68beb-c95d-4953-9cdb-0831b613d650_Extended_MSFT_Method">
    <vt:lpwstr>Standard</vt:lpwstr>
  </property>
  <property fmtid="{D5CDD505-2E9C-101B-9397-08002B2CF9AE}" pid="24" name="Sensitivity">
    <vt:lpwstr>In-Confidence \ Organisation internal In-Confidence</vt:lpwstr>
  </property>
</Properties>
</file>